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610" activeTab="1"/>
  </bookViews>
  <sheets>
    <sheet name="Нагрузка_ПС" sheetId="10" r:id="rId1"/>
    <sheet name="АЧР+гр вр " sheetId="6" r:id="rId2"/>
    <sheet name="Ведомость учета" sheetId="7" r:id="rId3"/>
    <sheet name="сводная табл1" sheetId="4" r:id="rId4"/>
    <sheet name="табл2 субаб и сторонние" sheetId="8" r:id="rId5"/>
  </sheets>
  <definedNames>
    <definedName name="_xlnm.Print_Area" localSheetId="1">'АЧР+гр вр '!$A$1:$AD$39</definedName>
    <definedName name="_xlnm.Print_Area" localSheetId="3">'сводная табл1'!$B$2:$K$40</definedName>
    <definedName name="_xlnm.Print_Area" localSheetId="4">'табл2 субаб и сторонние'!$C$1:$BT$37</definedName>
  </definedNames>
  <calcPr calcId="152511"/>
</workbook>
</file>

<file path=xl/calcChain.xml><?xml version="1.0" encoding="utf-8"?>
<calcChain xmlns="http://schemas.openxmlformats.org/spreadsheetml/2006/main">
  <c r="X17" i="10" l="1"/>
  <c r="X15" i="10"/>
  <c r="X13" i="10"/>
  <c r="X11" i="10"/>
  <c r="X9" i="10"/>
  <c r="R17" i="10"/>
  <c r="R15" i="10"/>
  <c r="R13" i="10"/>
  <c r="R11" i="10"/>
  <c r="R9" i="10"/>
  <c r="L17" i="10"/>
  <c r="L15" i="10"/>
  <c r="L13" i="10"/>
  <c r="L11" i="10"/>
  <c r="L9" i="10"/>
  <c r="W11" i="10" l="1"/>
  <c r="W13" i="10"/>
  <c r="W15" i="10"/>
  <c r="W17" i="10"/>
  <c r="W9" i="10"/>
  <c r="Q11" i="10"/>
  <c r="Q13" i="10"/>
  <c r="Q15" i="10"/>
  <c r="Q17" i="10"/>
  <c r="Q9" i="10"/>
  <c r="K17" i="10"/>
  <c r="K11" i="10"/>
  <c r="K13" i="10"/>
  <c r="K15" i="10"/>
  <c r="K9" i="10"/>
  <c r="BT8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I32" i="8"/>
  <c r="J32" i="8"/>
  <c r="K32" i="8"/>
  <c r="L32" i="8"/>
  <c r="M32" i="8"/>
  <c r="H32" i="8"/>
  <c r="G32" i="8"/>
  <c r="F32" i="8"/>
  <c r="E32" i="8"/>
  <c r="D32" i="8"/>
  <c r="V17" i="10"/>
  <c r="U17" i="10"/>
  <c r="O17" i="10"/>
  <c r="P17" i="10"/>
  <c r="J17" i="10"/>
  <c r="I17" i="10"/>
  <c r="V15" i="10"/>
  <c r="U15" i="10"/>
  <c r="P15" i="10"/>
  <c r="O15" i="10"/>
  <c r="O13" i="10"/>
  <c r="J15" i="10"/>
  <c r="I15" i="10"/>
  <c r="V13" i="10"/>
  <c r="U13" i="10"/>
  <c r="P13" i="10"/>
  <c r="J13" i="10"/>
  <c r="I13" i="10"/>
  <c r="V11" i="10"/>
  <c r="U11" i="10"/>
  <c r="O11" i="10"/>
  <c r="P11" i="10"/>
  <c r="I11" i="10"/>
  <c r="J11" i="10"/>
  <c r="V9" i="10"/>
  <c r="U9" i="10"/>
  <c r="P9" i="10"/>
  <c r="O9" i="10"/>
  <c r="J9" i="10"/>
  <c r="I9" i="10"/>
  <c r="S35" i="7"/>
  <c r="R35" i="7"/>
  <c r="Q35" i="7"/>
  <c r="P35" i="7"/>
  <c r="O35" i="7"/>
  <c r="V11" i="7" l="1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N35" i="7"/>
  <c r="B35" i="7" l="1"/>
  <c r="X11" i="7" l="1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Z11" i="7" l="1"/>
  <c r="BT12" i="8"/>
  <c r="AA15" i="7" s="1"/>
  <c r="K14" i="4" s="1"/>
  <c r="BT13" i="8"/>
  <c r="AA16" i="7" s="1"/>
  <c r="BT11" i="8"/>
  <c r="AA14" i="7" s="1"/>
  <c r="K13" i="4" s="1"/>
  <c r="BT10" i="8"/>
  <c r="AA13" i="7" s="1"/>
  <c r="K12" i="4" s="1"/>
  <c r="BT9" i="8"/>
  <c r="AA12" i="7" s="1"/>
  <c r="K11" i="4" s="1"/>
  <c r="BT31" i="8"/>
  <c r="AA34" i="7" s="1"/>
  <c r="BT30" i="8"/>
  <c r="AA33" i="7" s="1"/>
  <c r="BT29" i="8"/>
  <c r="AA32" i="7" s="1"/>
  <c r="BT28" i="8"/>
  <c r="AA31" i="7" s="1"/>
  <c r="K30" i="4" s="1"/>
  <c r="BT27" i="8"/>
  <c r="AA30" i="7" s="1"/>
  <c r="BT26" i="8"/>
  <c r="AA29" i="7" s="1"/>
  <c r="BT25" i="8"/>
  <c r="AA28" i="7" s="1"/>
  <c r="BT24" i="8"/>
  <c r="AA27" i="7" s="1"/>
  <c r="K26" i="4" s="1"/>
  <c r="BT23" i="8"/>
  <c r="AA26" i="7" s="1"/>
  <c r="BT22" i="8"/>
  <c r="AA25" i="7" s="1"/>
  <c r="BT21" i="8"/>
  <c r="AA24" i="7" s="1"/>
  <c r="BT20" i="8"/>
  <c r="AA23" i="7" s="1"/>
  <c r="K22" i="4" s="1"/>
  <c r="BT19" i="8"/>
  <c r="AA22" i="7" s="1"/>
  <c r="BT18" i="8"/>
  <c r="AA21" i="7" s="1"/>
  <c r="BT17" i="8"/>
  <c r="AA20" i="7" s="1"/>
  <c r="BT16" i="8"/>
  <c r="AA19" i="7" s="1"/>
  <c r="K18" i="4" s="1"/>
  <c r="BT15" i="8"/>
  <c r="AA18" i="7" s="1"/>
  <c r="BT14" i="8"/>
  <c r="AA17" i="7" s="1"/>
  <c r="Y11" i="7" l="1"/>
  <c r="I10" i="4" s="1"/>
  <c r="K15" i="4"/>
  <c r="K19" i="4"/>
  <c r="K23" i="4"/>
  <c r="K27" i="4"/>
  <c r="K31" i="4"/>
  <c r="K16" i="4"/>
  <c r="K20" i="4"/>
  <c r="K24" i="4"/>
  <c r="K28" i="4"/>
  <c r="K32" i="4"/>
  <c r="K17" i="4"/>
  <c r="K21" i="4"/>
  <c r="K25" i="4"/>
  <c r="K29" i="4"/>
  <c r="K33" i="4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H34" i="4"/>
  <c r="G34" i="4"/>
  <c r="F34" i="4"/>
  <c r="E34" i="4"/>
  <c r="D34" i="4"/>
  <c r="J10" i="4"/>
  <c r="W35" i="7"/>
  <c r="Z34" i="7"/>
  <c r="J33" i="4" s="1"/>
  <c r="Z33" i="7"/>
  <c r="J32" i="4" s="1"/>
  <c r="Z32" i="7"/>
  <c r="J31" i="4" s="1"/>
  <c r="Z31" i="7"/>
  <c r="J30" i="4" s="1"/>
  <c r="Z30" i="7"/>
  <c r="J29" i="4" s="1"/>
  <c r="Z29" i="7"/>
  <c r="J28" i="4" s="1"/>
  <c r="Z28" i="7"/>
  <c r="J27" i="4" s="1"/>
  <c r="Z27" i="7"/>
  <c r="J26" i="4" s="1"/>
  <c r="Z26" i="7"/>
  <c r="J25" i="4" s="1"/>
  <c r="Z25" i="7"/>
  <c r="J24" i="4" s="1"/>
  <c r="Z24" i="7"/>
  <c r="J23" i="4" s="1"/>
  <c r="Z23" i="7"/>
  <c r="J22" i="4" s="1"/>
  <c r="Z22" i="7"/>
  <c r="J21" i="4" s="1"/>
  <c r="Z21" i="7"/>
  <c r="J20" i="4" s="1"/>
  <c r="Z20" i="7"/>
  <c r="J19" i="4" s="1"/>
  <c r="Z19" i="7"/>
  <c r="J18" i="4" s="1"/>
  <c r="Z18" i="7"/>
  <c r="J17" i="4" s="1"/>
  <c r="Z17" i="7"/>
  <c r="J16" i="4" s="1"/>
  <c r="Z16" i="7"/>
  <c r="J15" i="4" s="1"/>
  <c r="Z15" i="7"/>
  <c r="J14" i="4" s="1"/>
  <c r="Z14" i="7"/>
  <c r="J13" i="4" s="1"/>
  <c r="Z13" i="7"/>
  <c r="J12" i="4" s="1"/>
  <c r="Y13" i="7"/>
  <c r="AB13" i="7" s="1"/>
  <c r="Z12" i="7"/>
  <c r="J11" i="4" s="1"/>
  <c r="D10" i="7"/>
  <c r="C10" i="7"/>
  <c r="C35" i="7" s="1"/>
  <c r="E10" i="7" l="1"/>
  <c r="D35" i="7"/>
  <c r="AD7" i="8"/>
  <c r="AE7" i="8" s="1"/>
  <c r="AF7" i="8" s="1"/>
  <c r="AG7" i="8" s="1"/>
  <c r="AH7" i="8" s="1"/>
  <c r="AI7" i="8" s="1"/>
  <c r="AJ7" i="8" s="1"/>
  <c r="AK7" i="8" s="1"/>
  <c r="AL7" i="8" s="1"/>
  <c r="AM7" i="8" s="1"/>
  <c r="AN7" i="8" s="1"/>
  <c r="AO7" i="8" s="1"/>
  <c r="AP7" i="8" s="1"/>
  <c r="AQ7" i="8" s="1"/>
  <c r="AR7" i="8" s="1"/>
  <c r="AS7" i="8" s="1"/>
  <c r="AT7" i="8" s="1"/>
  <c r="AU7" i="8" s="1"/>
  <c r="AV7" i="8" s="1"/>
  <c r="AW7" i="8" s="1"/>
  <c r="AX7" i="8" s="1"/>
  <c r="Y33" i="7"/>
  <c r="AB33" i="7" s="1"/>
  <c r="Y31" i="7"/>
  <c r="AB31" i="7" s="1"/>
  <c r="Y29" i="7"/>
  <c r="AB29" i="7" s="1"/>
  <c r="Y15" i="7"/>
  <c r="AB15" i="7" s="1"/>
  <c r="Y19" i="7"/>
  <c r="AB19" i="7" s="1"/>
  <c r="Y23" i="7"/>
  <c r="AB23" i="7" s="1"/>
  <c r="Y27" i="7"/>
  <c r="AB27" i="7" s="1"/>
  <c r="Y17" i="7"/>
  <c r="AB17" i="7" s="1"/>
  <c r="Y21" i="7"/>
  <c r="AB21" i="7" s="1"/>
  <c r="Y25" i="7"/>
  <c r="AB25" i="7" s="1"/>
  <c r="X35" i="7"/>
  <c r="Y12" i="7"/>
  <c r="AB12" i="7" s="1"/>
  <c r="Y14" i="7"/>
  <c r="AB14" i="7" s="1"/>
  <c r="Y18" i="7"/>
  <c r="AB18" i="7" s="1"/>
  <c r="Y22" i="7"/>
  <c r="AB22" i="7" s="1"/>
  <c r="Y26" i="7"/>
  <c r="AB26" i="7" s="1"/>
  <c r="Y30" i="7"/>
  <c r="AB30" i="7" s="1"/>
  <c r="Y34" i="7"/>
  <c r="AB34" i="7" s="1"/>
  <c r="I32" i="4"/>
  <c r="V35" i="7"/>
  <c r="Y16" i="7"/>
  <c r="AB16" i="7" s="1"/>
  <c r="Y20" i="7"/>
  <c r="AB20" i="7" s="1"/>
  <c r="Y24" i="7"/>
  <c r="AB24" i="7" s="1"/>
  <c r="Y28" i="7"/>
  <c r="AB28" i="7" s="1"/>
  <c r="Y32" i="7"/>
  <c r="AB32" i="7" s="1"/>
  <c r="I12" i="4"/>
  <c r="I30" i="4"/>
  <c r="Z35" i="7"/>
  <c r="J34" i="4" s="1"/>
  <c r="AY7" i="8" l="1"/>
  <c r="AZ7" i="8" s="1"/>
  <c r="BA7" i="8" s="1"/>
  <c r="F10" i="7"/>
  <c r="E35" i="7"/>
  <c r="I16" i="4"/>
  <c r="I28" i="4"/>
  <c r="I14" i="4"/>
  <c r="I22" i="4"/>
  <c r="I20" i="4"/>
  <c r="I18" i="4"/>
  <c r="I24" i="4"/>
  <c r="I26" i="4"/>
  <c r="I27" i="4"/>
  <c r="Y35" i="7"/>
  <c r="C34" i="4" s="1"/>
  <c r="I11" i="4"/>
  <c r="I25" i="4"/>
  <c r="I15" i="4"/>
  <c r="I29" i="4"/>
  <c r="I13" i="4"/>
  <c r="I23" i="4"/>
  <c r="I21" i="4"/>
  <c r="I31" i="4"/>
  <c r="I19" i="4"/>
  <c r="I33" i="4"/>
  <c r="I17" i="4"/>
  <c r="BB7" i="8" l="1"/>
  <c r="BC7" i="8" s="1"/>
  <c r="G10" i="7"/>
  <c r="F35" i="7"/>
  <c r="I34" i="4"/>
  <c r="BD7" i="8" l="1"/>
  <c r="BE7" i="8" s="1"/>
  <c r="BF7" i="8" s="1"/>
  <c r="BG7" i="8" s="1"/>
  <c r="BH7" i="8" s="1"/>
  <c r="BI7" i="8" s="1"/>
  <c r="BJ7" i="8" s="1"/>
  <c r="BK7" i="8" s="1"/>
  <c r="BL7" i="8" s="1"/>
  <c r="BM7" i="8" s="1"/>
  <c r="BN7" i="8" s="1"/>
  <c r="BO7" i="8" s="1"/>
  <c r="BP7" i="8" s="1"/>
  <c r="BQ7" i="8" s="1"/>
  <c r="BR7" i="8" s="1"/>
  <c r="BS7" i="8" s="1"/>
  <c r="BT7" i="8" s="1"/>
  <c r="H10" i="7"/>
  <c r="G35" i="7"/>
  <c r="BT32" i="8"/>
  <c r="I10" i="7" l="1"/>
  <c r="H35" i="7"/>
  <c r="AA11" i="7"/>
  <c r="J10" i="7" l="1"/>
  <c r="I35" i="7"/>
  <c r="K10" i="4"/>
  <c r="AA35" i="7"/>
  <c r="K34" i="4" s="1"/>
  <c r="AB11" i="7"/>
  <c r="AB35" i="7" s="1"/>
  <c r="K10" i="7" l="1"/>
  <c r="J35" i="7"/>
  <c r="L10" i="7" l="1"/>
  <c r="K35" i="7"/>
  <c r="M10" i="7" l="1"/>
  <c r="L35" i="7"/>
  <c r="N10" i="7" l="1"/>
  <c r="O10" i="7" s="1"/>
  <c r="P10" i="7" s="1"/>
  <c r="Q10" i="7" s="1"/>
  <c r="R10" i="7" s="1"/>
  <c r="S10" i="7" s="1"/>
  <c r="T10" i="7" s="1"/>
  <c r="M35" i="7"/>
  <c r="U10" i="7" l="1"/>
  <c r="T35" i="7"/>
  <c r="V10" i="7" l="1"/>
  <c r="W10" i="7" s="1"/>
  <c r="X10" i="7" s="1"/>
  <c r="Y10" i="7" s="1"/>
  <c r="Z10" i="7" s="1"/>
  <c r="AA10" i="7" s="1"/>
  <c r="AB10" i="7" s="1"/>
  <c r="U35" i="7"/>
</calcChain>
</file>

<file path=xl/sharedStrings.xml><?xml version="1.0" encoding="utf-8"?>
<sst xmlns="http://schemas.openxmlformats.org/spreadsheetml/2006/main" count="380" uniqueCount="270">
  <si>
    <t>Часы</t>
  </si>
  <si>
    <t>(сумма</t>
  </si>
  <si>
    <t>колонок</t>
  </si>
  <si>
    <t>итого</t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</si>
  <si>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ВН</t>
    </r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</si>
  <si>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СН1</t>
    </r>
  </si>
  <si>
    <r>
      <t xml:space="preserve">по напряжению </t>
    </r>
    <r>
      <rPr>
        <b/>
        <sz val="10"/>
        <color indexed="8"/>
        <rFont val="Times New Roman"/>
        <family val="1"/>
        <charset val="204"/>
      </rPr>
      <t>СН2</t>
    </r>
  </si>
  <si>
    <t>0-1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</si>
  <si>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</si>
  <si>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</si>
  <si>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</si>
  <si>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</si>
  <si>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</si>
  <si>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</si>
  <si>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</si>
  <si>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</si>
  <si>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</si>
  <si>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</si>
  <si>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</si>
  <si>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</si>
  <si>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1-2</t>
  </si>
  <si>
    <t>2-3</t>
  </si>
  <si>
    <t>3-4</t>
  </si>
  <si>
    <t>4-5</t>
  </si>
  <si>
    <t>5-6</t>
  </si>
  <si>
    <t>6-7</t>
  </si>
  <si>
    <t>7-8</t>
  </si>
  <si>
    <t>8-9</t>
  </si>
  <si>
    <t>10-11</t>
  </si>
  <si>
    <t>11-12</t>
  </si>
  <si>
    <t>12-13</t>
  </si>
  <si>
    <t>Технический руководитель________________     тел._________</t>
  </si>
  <si>
    <t>9-10</t>
  </si>
  <si>
    <t xml:space="preserve">    Сводная  таблица  нагрузок                             </t>
  </si>
  <si>
    <t>Потребитель (абонент), МВт</t>
  </si>
  <si>
    <t>Производ-ственная</t>
  </si>
  <si>
    <t>Непроиз-водственная</t>
  </si>
  <si>
    <t xml:space="preserve">Двухста-вочные </t>
  </si>
  <si>
    <t>Прочие односта вочные</t>
  </si>
  <si>
    <t>Бюд-жетные</t>
  </si>
  <si>
    <t>7=1+2+3+4+5+6</t>
  </si>
  <si>
    <t>Всего за сутки</t>
  </si>
  <si>
    <t>Электропотребление за месяц</t>
  </si>
  <si>
    <t>Технический руководитель_________________                  тел.________</t>
  </si>
  <si>
    <t>Примечание о нехарактерности нагрузок в режимный день:</t>
  </si>
  <si>
    <t>Итого сторонние,  МВт</t>
  </si>
  <si>
    <t>Место установки</t>
  </si>
  <si>
    <t>Номера подключенных к АЧР линий, трансформаторов</t>
  </si>
  <si>
    <t>Население и мед.пункты</t>
  </si>
  <si>
    <t>Актив. Мощность</t>
  </si>
  <si>
    <t>Реакт. Мощность</t>
  </si>
  <si>
    <t>Субабоненты                                              по тарифным группам, МВт</t>
  </si>
  <si>
    <t>Всего по договору,   без сторонних, МВт</t>
  </si>
  <si>
    <t>МВт</t>
  </si>
  <si>
    <t>МВар</t>
  </si>
  <si>
    <t xml:space="preserve">Сторонние </t>
  </si>
  <si>
    <t>Технический руководитель  ____________________________       тел. ________________</t>
  </si>
  <si>
    <t>Cторонние потребители, МВт</t>
  </si>
  <si>
    <t>Нагрузка линий,  МВт</t>
  </si>
  <si>
    <t>Электро потребление за месяц</t>
  </si>
  <si>
    <t xml:space="preserve">Пропускная способность ЛЭП (при температуре +25оС) или номинальный ток обмоток трансформатора, А </t>
  </si>
  <si>
    <t>Положение РПН(ПБВ)</t>
  </si>
  <si>
    <t>I /А/</t>
  </si>
  <si>
    <t>U /кВ/</t>
  </si>
  <si>
    <t>P /кВт/</t>
  </si>
  <si>
    <t>Q /кВар/</t>
  </si>
  <si>
    <t>S, МВА</t>
  </si>
  <si>
    <t>tgф</t>
  </si>
  <si>
    <t>Примечание: заполнять при наличии подстанции 35-110 кВ на балансе потребителя</t>
  </si>
  <si>
    <t>Номер очереди</t>
  </si>
  <si>
    <t>Номер                      отключаемой линии</t>
  </si>
  <si>
    <t>3 ч.</t>
  </si>
  <si>
    <t>9 ч.</t>
  </si>
  <si>
    <t>18 ч.</t>
  </si>
  <si>
    <t>Наименование подстанции,             класс напряжения</t>
  </si>
  <si>
    <t>Наименование,                               класс напряжения трансформатора, линии 35-110 кВ</t>
  </si>
  <si>
    <t xml:space="preserve">Наименование питающего центра энергосистемы,                         с которого выполняется отключение </t>
  </si>
  <si>
    <t>1 ч.</t>
  </si>
  <si>
    <t>2 ч.</t>
  </si>
  <si>
    <t>4 ч.</t>
  </si>
  <si>
    <t>5 ч.</t>
  </si>
  <si>
    <t>6 ч.</t>
  </si>
  <si>
    <t>7 ч.</t>
  </si>
  <si>
    <t>8 ч.</t>
  </si>
  <si>
    <t>10 ч.</t>
  </si>
  <si>
    <t>11 ч.</t>
  </si>
  <si>
    <t>12 ч.</t>
  </si>
  <si>
    <t>13 ч.</t>
  </si>
  <si>
    <t>Нагрузка линий ,  МВт</t>
  </si>
  <si>
    <t>14 ч.</t>
  </si>
  <si>
    <t>15 ч.</t>
  </si>
  <si>
    <t>16 ч.</t>
  </si>
  <si>
    <t>17 ч.</t>
  </si>
  <si>
    <t>19 ч.</t>
  </si>
  <si>
    <t>20 ч.</t>
  </si>
  <si>
    <t>21 ч.</t>
  </si>
  <si>
    <t>22 ч.</t>
  </si>
  <si>
    <t>23 ч.</t>
  </si>
  <si>
    <t>24 ч.</t>
  </si>
  <si>
    <t>Наименование присоединения,                трансформатора или ЛЭП</t>
  </si>
  <si>
    <t>Время отключения  мин.</t>
  </si>
  <si>
    <t xml:space="preserve">Таблица нагрузок линий, участвующих в графике временного отключения потребления, в расстановке АЧР и ЧАПВ </t>
  </si>
  <si>
    <t>Таблица нагрузок вводов потребительских подстанций  110-35 кВ</t>
  </si>
  <si>
    <t>Уставка срабатывания АЧР</t>
  </si>
  <si>
    <t>частота, Гц</t>
  </si>
  <si>
    <t>время, сек.</t>
  </si>
  <si>
    <t>ООО "Тосол-Синтез", ГПП-2</t>
  </si>
  <si>
    <t>ЗАО "Эффект и Ко", ПС-1</t>
  </si>
  <si>
    <t>ЗАО НПО "Полет", ПС-2</t>
  </si>
  <si>
    <t>ООО "Экопол", ПС-3</t>
  </si>
  <si>
    <t>ООО "Акридис", ПС-10</t>
  </si>
  <si>
    <t>ЗАО "Мега-такт", ПС-8</t>
  </si>
  <si>
    <t>ТОО "НОРТА", ПС-22</t>
  </si>
  <si>
    <t>ЗАО "Экструдер", ГПП-2</t>
  </si>
  <si>
    <t>пс ГПП-2                                        фид. № Т1 РЭ</t>
  </si>
  <si>
    <t>пс ГПП-2                                        фид. № Т1 АЭ</t>
  </si>
  <si>
    <t>пс ГПП-2                                        фид. № Т2 РЭ</t>
  </si>
  <si>
    <t>пс ГПП-2                                        фид. № Т2 АЭ</t>
  </si>
  <si>
    <t>пс ГПП-1                                        фид. № Т1 АЭ</t>
  </si>
  <si>
    <t>пс ГПП-1                                        фид. № Т1 РЭ</t>
  </si>
  <si>
    <t>пс ГПП-1                                        фид. № Т2 АЭ</t>
  </si>
  <si>
    <t>пс ГПП-1                                        фид. № Т2 РЭ</t>
  </si>
  <si>
    <t>пс ГПП-1                                        фид. № ТСН АЭ</t>
  </si>
  <si>
    <t>пс ГПП-1                                        фид. № ТСН РЭ</t>
  </si>
  <si>
    <t>Итого, с учетом сторонних, АЭ</t>
  </si>
  <si>
    <t>Суммарная РЭ, Мвар</t>
  </si>
  <si>
    <t>Ведомость учета замеров нагрузки по точкам приема электрической энергии (мощности), МВт (Мвар)</t>
  </si>
  <si>
    <t>Сторонние потребители, МВт</t>
  </si>
  <si>
    <t>8Ш,22Ш</t>
  </si>
  <si>
    <t>Игумновская ТЭЦ</t>
  </si>
  <si>
    <t>43Ш</t>
  </si>
  <si>
    <t>СМ-2</t>
  </si>
  <si>
    <t>Трансформаторы Т-3, Т-4</t>
  </si>
  <si>
    <t>синхронные и асинхронные двигатели</t>
  </si>
  <si>
    <t>ГПП-2 п/ст Ворошиловская</t>
  </si>
  <si>
    <t>ввод Т-2</t>
  </si>
  <si>
    <t>п/ст Ока</t>
  </si>
  <si>
    <t>ЛЭП-186</t>
  </si>
  <si>
    <t>ГПП-1 Оргстекло (от п/ст Ока ЛЭП-186)</t>
  </si>
  <si>
    <t>НИИП-3</t>
  </si>
  <si>
    <t>3 синхронных двигателя</t>
  </si>
  <si>
    <t>ФГУП "НИИП", ГПП-1</t>
  </si>
  <si>
    <t>ГПП-1 п/ст Оргстекло</t>
  </si>
  <si>
    <t xml:space="preserve">П/ст 52 </t>
  </si>
  <si>
    <t xml:space="preserve">П/ст 1 </t>
  </si>
  <si>
    <t xml:space="preserve">П/ст 12 </t>
  </si>
  <si>
    <t xml:space="preserve">П/ст 14 </t>
  </si>
  <si>
    <t>Т-1 ТДНГ-15/110/6</t>
  </si>
  <si>
    <t>Т-1 ТРДН-25/110/6</t>
  </si>
  <si>
    <t>Т-2 ТДН-15/110/6</t>
  </si>
  <si>
    <t>Т-2 ТРДН-25/110/6</t>
  </si>
  <si>
    <t>ввод 110 кВ</t>
  </si>
  <si>
    <t>ввод 6 кВ</t>
  </si>
  <si>
    <t>п/ст Оргстекло 110/6</t>
  </si>
  <si>
    <t>п/ст Ворошиловская                    110/6</t>
  </si>
  <si>
    <t>ООО "ММА", ГПП-1</t>
  </si>
  <si>
    <t xml:space="preserve"> </t>
  </si>
  <si>
    <t>ООО "ДПХИ-НН", ПС-3</t>
  </si>
  <si>
    <t>ООО "Завод ПКС", ПС-3</t>
  </si>
  <si>
    <t>ООО "ППИ", ПС-3</t>
  </si>
  <si>
    <t>ООО "Астат", ПС-3</t>
  </si>
  <si>
    <t>ООО "Химэкспо", ПС-3</t>
  </si>
  <si>
    <t>ОАО "Акрилат"(Сибур-Нефтехим), ГПП-2</t>
  </si>
  <si>
    <t>ООО "Прайм", ПС-10</t>
  </si>
  <si>
    <t>ООО "ПрофСоюз", ПС-23</t>
  </si>
  <si>
    <t>АО "ДОС", ГПП-2, ПС-55</t>
  </si>
  <si>
    <t>ООО "Евроком",    ПС-3</t>
  </si>
  <si>
    <t>ИП "Мальцева О. В., ПС-2,   ПС-22</t>
  </si>
  <si>
    <t>Игумновская ТЭЦ                                      ЛЭП "Игумновская" АЭ</t>
  </si>
  <si>
    <t>Игумновская ТЭЦ                                      ЛЭП "Игумновская" РЭ</t>
  </si>
  <si>
    <t>Игумновская ТЭЦ                                      ЛЭП "Южная" АЭ</t>
  </si>
  <si>
    <t>Игумновская ТЭЦ                                      ЛЭП "Южная" РЭ</t>
  </si>
  <si>
    <t>Игумновская ТЭЦ                                      ЛЭП № 139 АЭ</t>
  </si>
  <si>
    <t>Игумновская ТЭЦ                                      ЛЭП № 139 РЭ</t>
  </si>
  <si>
    <t>Игумновская ТЭЦ                                      ЛЭП № 116 АЭ</t>
  </si>
  <si>
    <t>Игумновская ТЭЦ                                      ЛЭП № 116 РЭ</t>
  </si>
  <si>
    <t>Игумновская ТЭЦ                                      ЛЭП № 115 АЭ</t>
  </si>
  <si>
    <t>Игумновская ТЭЦ                                      ЛЭП № 115 РЭ</t>
  </si>
  <si>
    <t>ООО "Синтез ОКА"</t>
  </si>
  <si>
    <t>ООО "Тосол-Синтез"</t>
  </si>
  <si>
    <t>ОАО "Химмаш"</t>
  </si>
  <si>
    <t xml:space="preserve"> ф.17Ц, 35 кВ</t>
  </si>
  <si>
    <t>ф.11Ш, 6 кВ</t>
  </si>
  <si>
    <t>ф.40Ш, 6 кВ</t>
  </si>
  <si>
    <t xml:space="preserve"> ф.18Ц, 35 кВ</t>
  </si>
  <si>
    <t>ф.9Ш, 6 кВ</t>
  </si>
  <si>
    <t>ф.6Ш, 6 кВ</t>
  </si>
  <si>
    <t>ф.47Ш, 6 кВ</t>
  </si>
  <si>
    <t>ф.48Ш, 6 кВ</t>
  </si>
  <si>
    <t xml:space="preserve"> ф.50Ш, 6 кВ</t>
  </si>
  <si>
    <t>ГРУ - 6кВ, 46Ш</t>
  </si>
  <si>
    <t>ГРУ - 6кВ, 5Ш</t>
  </si>
  <si>
    <t xml:space="preserve"> ГРУ - 6кВ, 10Ш</t>
  </si>
  <si>
    <t xml:space="preserve"> ГРУ - 6кВ, 2Ш</t>
  </si>
  <si>
    <t>ГРУ - 6кВ, 41Ш</t>
  </si>
  <si>
    <t>ГРУ - 6кВ, 20Ш</t>
  </si>
  <si>
    <t>ГРУ - 6кВ, 17Ш</t>
  </si>
  <si>
    <t>ПЭН 7 (23Ш)</t>
  </si>
  <si>
    <t>яч. 5, БЭС - 110кВ</t>
  </si>
  <si>
    <t>яч. 12, БЭС - 110кВ</t>
  </si>
  <si>
    <t>ОАО "Дзержинск-химмаш"</t>
  </si>
  <si>
    <t>ОАО "МРСК Центра и Приволжья"</t>
  </si>
  <si>
    <t>ОРУ-110кВ, ввод  ЛЭП 139</t>
  </si>
  <si>
    <t>ОРУ-110кВ, ввод  ЛЭП 116</t>
  </si>
  <si>
    <t>ООО "Синтез Сервис 1"</t>
  </si>
  <si>
    <t>ф.1Ц, 35 кВ</t>
  </si>
  <si>
    <t xml:space="preserve"> ф.2Ц, 35 кВ</t>
  </si>
  <si>
    <t xml:space="preserve"> ф.4Ц, 35 кВ</t>
  </si>
  <si>
    <t>ф.5Ц, 35 кВ</t>
  </si>
  <si>
    <t>ф.6Ц, 35 кВ</t>
  </si>
  <si>
    <t xml:space="preserve"> ф.7Ц, 35 кВ</t>
  </si>
  <si>
    <t>ф.8Ц, 35 кВ</t>
  </si>
  <si>
    <t>ф.11Ц, 35 кВ</t>
  </si>
  <si>
    <t>ф.12Ц, 35 кВ</t>
  </si>
  <si>
    <t>ф.15Ц, 35 кВ</t>
  </si>
  <si>
    <t>ф.16Ц, 35 кВ</t>
  </si>
  <si>
    <t>ф.18Ш, 6 кВ</t>
  </si>
  <si>
    <t>ф.12Ш, 6 кВ</t>
  </si>
  <si>
    <t>ф.10Ц, 35 кВ</t>
  </si>
  <si>
    <t>ф.14Ц, 35 кВ</t>
  </si>
  <si>
    <t>ф.25Ш, 6 кВ</t>
  </si>
  <si>
    <t>ЗАО "Оргсинтез-Ока",                               ПС-13, 36</t>
  </si>
  <si>
    <t>Учреждение УЗ-62/9,                                            ПС-32</t>
  </si>
  <si>
    <t>ООО "РУСНЕФТЕХИМ",                               ПС-23</t>
  </si>
  <si>
    <t>CСО, МВт</t>
  </si>
  <si>
    <t>Сводная  таблица  нагрузок  субабонентов и сторонних потребителей</t>
  </si>
  <si>
    <t xml:space="preserve">Наименование:                ЗАО "Транссетьком-Волга"                                                                                                                                </t>
  </si>
  <si>
    <t>№ договора:  388-юр от 02.03.2016 г.</t>
  </si>
  <si>
    <r>
      <t>№ договора</t>
    </r>
    <r>
      <rPr>
        <b/>
        <sz val="12"/>
        <rFont val="Times New Roman"/>
        <family val="1"/>
        <charset val="204"/>
      </rPr>
      <t>: 388-юр от 02.03.2016 г.</t>
    </r>
  </si>
  <si>
    <t>№ договора: 388-юр от 02.03.2016 г.</t>
  </si>
  <si>
    <t xml:space="preserve">Наименование:    ЗАО "Транссетьком-Волга"                                                                                                                                            </t>
  </si>
  <si>
    <t>Наименование: ЗАО "Транссетьком-Волга"</t>
  </si>
  <si>
    <t>Наименование, класс напряжения трансформатора, линии 35-110 кВ</t>
  </si>
  <si>
    <t>Игумновская ТЭЦ 110/35/6</t>
  </si>
  <si>
    <t>ЛЭП "Игумновская"</t>
  </si>
  <si>
    <t>ЛЭП "Южная"</t>
  </si>
  <si>
    <t>ЛЭП №115</t>
  </si>
  <si>
    <t>ЛЭП №116</t>
  </si>
  <si>
    <t>ЛЭП №139</t>
  </si>
  <si>
    <t>110 кВ</t>
  </si>
  <si>
    <t xml:space="preserve">2Ц,4Ц,12Ц, 13Ц </t>
  </si>
  <si>
    <t>ОП</t>
  </si>
  <si>
    <t>ГПП-1 "Оргстекло"</t>
  </si>
  <si>
    <t>20Т1</t>
  </si>
  <si>
    <t>ГПП-2 "Ворошиловская"</t>
  </si>
  <si>
    <t>21Т1</t>
  </si>
  <si>
    <t>54Т1</t>
  </si>
  <si>
    <t>ОРУ-110кВ, ввод  ЛЭП Южная</t>
  </si>
  <si>
    <t>ф.21Ш, 6 кВ</t>
  </si>
  <si>
    <t xml:space="preserve">ООО "Компаунд"                                              </t>
  </si>
  <si>
    <t>Астафьев С. А., ПС-50</t>
  </si>
  <si>
    <t>ФНПЦ "ННИИРТ", ГПП-1</t>
  </si>
  <si>
    <t>ГРУ 6кВ, 15Ш</t>
  </si>
  <si>
    <t>(21+22+23)</t>
  </si>
  <si>
    <r>
      <t xml:space="preserve">Всего по договору без сторонних потребителей                                  </t>
    </r>
    <r>
      <rPr>
        <sz val="10"/>
        <color indexed="8"/>
        <rFont val="Times New Roman"/>
        <family val="1"/>
        <charset val="204"/>
      </rPr>
      <t xml:space="preserve"> (24-26)</t>
    </r>
  </si>
  <si>
    <t>ПС-3</t>
  </si>
  <si>
    <t>Астат</t>
  </si>
  <si>
    <t>КТП ООО "Компаунд"</t>
  </si>
  <si>
    <t>РУ-0.4кВ ф.2,3,4,5,7,9,10, 11,15,16</t>
  </si>
  <si>
    <t>ф.14Ш, 6 кВ</t>
  </si>
  <si>
    <t>ООО "ОргсинтезПроЛаб"</t>
  </si>
  <si>
    <t>ООО "Полимер-групп",  ПС-12</t>
  </si>
  <si>
    <t>ООО "Эл-Транс"</t>
  </si>
  <si>
    <t>2. Расстановка автоматов частотной разгрузки АЧР и ЧАПВ на период 2019/2020г.г.</t>
  </si>
  <si>
    <t>Дата: 16.12.2020 г.</t>
  </si>
  <si>
    <t>Дата:16.12.2020 г.</t>
  </si>
  <si>
    <t>График временного отключения потребления электрической энергии                               на период 2020/2021г.г.</t>
  </si>
  <si>
    <t>1. График временного отключения потребления электрической энергии на период 2020/2021г.г.</t>
  </si>
  <si>
    <t>Дата:16.12.2020г.</t>
  </si>
  <si>
    <t>Дата: 16.12.2020г.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</si>
</sst>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400]h:mm:ss\ AM/PM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#,##0.000"/>
  </numFmts>
  <fonts count="4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19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 vertical="top"/>
    </xf>
    <xf numFmtId="0" fontId="25" fillId="0" borderId="0" xfId="0" applyNumberFormat="1" applyFont="1" applyFill="1" applyAlignment="1">
      <alignment horizontal="center" vertical="top"/>
    </xf>
    <xf numFmtId="0" fontId="25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NumberFormat="1" applyFont="1" applyFill="1" applyAlignment="1">
      <alignment horizontal="left" vertical="top"/>
    </xf>
    <xf numFmtId="0" fontId="29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NumberFormat="1" applyFont="1" applyFill="1" applyAlignment="1">
      <alignment horizontal="left"/>
    </xf>
    <xf numFmtId="0" fontId="29" fillId="0" borderId="0" xfId="0" applyFont="1" applyFill="1" applyAlignment="1"/>
    <xf numFmtId="0" fontId="21" fillId="0" borderId="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textRotation="90"/>
    </xf>
    <xf numFmtId="0" fontId="37" fillId="0" borderId="1" xfId="0" applyFont="1" applyBorder="1" applyAlignment="1">
      <alignment textRotation="90"/>
    </xf>
    <xf numFmtId="0" fontId="36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 wrapText="1"/>
    </xf>
    <xf numFmtId="49" fontId="9" fillId="0" borderId="12" xfId="0" applyNumberFormat="1" applyFont="1" applyBorder="1" applyAlignment="1">
      <alignment horizontal="justify" vertical="top" wrapText="1"/>
    </xf>
    <xf numFmtId="0" fontId="13" fillId="0" borderId="3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/>
    </xf>
    <xf numFmtId="0" fontId="9" fillId="0" borderId="8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0" fillId="0" borderId="8" xfId="0" applyBorder="1"/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37" xfId="0" applyBorder="1"/>
    <xf numFmtId="0" fontId="1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7" fillId="0" borderId="43" xfId="0" applyFont="1" applyFill="1" applyBorder="1" applyAlignment="1">
      <alignment textRotation="90" wrapText="1"/>
    </xf>
    <xf numFmtId="0" fontId="37" fillId="0" borderId="1" xfId="0" applyFont="1" applyFill="1" applyBorder="1" applyAlignment="1">
      <alignment horizontal="center" textRotation="90"/>
    </xf>
    <xf numFmtId="0" fontId="37" fillId="0" borderId="1" xfId="0" applyFont="1" applyFill="1" applyBorder="1" applyAlignment="1">
      <alignment horizontal="center" textRotation="90" wrapText="1"/>
    </xf>
    <xf numFmtId="0" fontId="37" fillId="0" borderId="1" xfId="0" applyFont="1" applyFill="1" applyBorder="1" applyAlignment="1">
      <alignment textRotation="90"/>
    </xf>
    <xf numFmtId="168" fontId="8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17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/>
    </xf>
    <xf numFmtId="0" fontId="10" fillId="0" borderId="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64" fontId="9" fillId="0" borderId="12" xfId="0" applyNumberFormat="1" applyFont="1" applyFill="1" applyBorder="1" applyAlignment="1">
      <alignment vertical="top" wrapText="1"/>
    </xf>
    <xf numFmtId="168" fontId="5" fillId="0" borderId="1" xfId="0" applyNumberFormat="1" applyFont="1" applyFill="1" applyBorder="1" applyAlignment="1">
      <alignment vertical="top" wrapText="1"/>
    </xf>
    <xf numFmtId="168" fontId="5" fillId="0" borderId="18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8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5" fillId="0" borderId="8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167" fontId="36" fillId="2" borderId="1" xfId="0" applyNumberFormat="1" applyFont="1" applyFill="1" applyBorder="1" applyAlignment="1">
      <alignment horizontal="center"/>
    </xf>
    <xf numFmtId="168" fontId="42" fillId="0" borderId="1" xfId="0" applyNumberFormat="1" applyFont="1" applyBorder="1" applyAlignment="1">
      <alignment horizontal="center" vertical="top"/>
    </xf>
    <xf numFmtId="0" fontId="9" fillId="2" borderId="12" xfId="0" applyFont="1" applyFill="1" applyBorder="1" applyAlignment="1">
      <alignment horizontal="justify" vertical="top" wrapText="1"/>
    </xf>
    <xf numFmtId="167" fontId="36" fillId="2" borderId="1" xfId="0" applyNumberFormat="1" applyFont="1" applyFill="1" applyBorder="1" applyAlignment="1">
      <alignment horizontal="center" vertical="top" wrapText="1"/>
    </xf>
    <xf numFmtId="167" fontId="37" fillId="2" borderId="1" xfId="0" applyNumberFormat="1" applyFont="1" applyFill="1" applyBorder="1" applyAlignment="1">
      <alignment horizontal="center" vertical="top" wrapText="1"/>
    </xf>
    <xf numFmtId="167" fontId="37" fillId="2" borderId="1" xfId="0" applyNumberFormat="1" applyFont="1" applyFill="1" applyBorder="1"/>
    <xf numFmtId="167" fontId="37" fillId="2" borderId="1" xfId="0" applyNumberFormat="1" applyFont="1" applyFill="1" applyBorder="1" applyAlignment="1"/>
    <xf numFmtId="167" fontId="8" fillId="2" borderId="1" xfId="0" applyNumberFormat="1" applyFont="1" applyFill="1" applyBorder="1" applyAlignment="1">
      <alignment horizontal="center" wrapText="1"/>
    </xf>
    <xf numFmtId="49" fontId="9" fillId="2" borderId="12" xfId="0" applyNumberFormat="1" applyFont="1" applyFill="1" applyBorder="1" applyAlignment="1">
      <alignment horizontal="justify" vertical="top" wrapText="1"/>
    </xf>
    <xf numFmtId="167" fontId="36" fillId="2" borderId="5" xfId="0" applyNumberFormat="1" applyFont="1" applyFill="1" applyBorder="1" applyAlignment="1">
      <alignment horizontal="center" vertical="top" wrapText="1"/>
    </xf>
    <xf numFmtId="170" fontId="41" fillId="2" borderId="62" xfId="0" applyNumberFormat="1" applyFont="1" applyFill="1" applyBorder="1" applyAlignment="1">
      <alignment horizontal="right"/>
    </xf>
    <xf numFmtId="0" fontId="13" fillId="2" borderId="36" xfId="0" applyFont="1" applyFill="1" applyBorder="1" applyAlignment="1">
      <alignment horizontal="center" vertical="top" wrapText="1"/>
    </xf>
    <xf numFmtId="167" fontId="13" fillId="2" borderId="1" xfId="0" applyNumberFormat="1" applyFont="1" applyFill="1" applyBorder="1" applyAlignment="1">
      <alignment vertical="top" wrapText="1"/>
    </xf>
    <xf numFmtId="169" fontId="0" fillId="2" borderId="1" xfId="0" applyNumberFormat="1" applyFill="1" applyBorder="1"/>
    <xf numFmtId="168" fontId="42" fillId="2" borderId="1" xfId="0" applyNumberFormat="1" applyFont="1" applyFill="1" applyBorder="1" applyAlignment="1">
      <alignment horizontal="center" vertical="top"/>
    </xf>
    <xf numFmtId="168" fontId="8" fillId="2" borderId="1" xfId="0" applyNumberFormat="1" applyFont="1" applyFill="1" applyBorder="1" applyAlignment="1">
      <alignment vertical="top" wrapText="1"/>
    </xf>
    <xf numFmtId="0" fontId="21" fillId="2" borderId="40" xfId="0" applyFont="1" applyFill="1" applyBorder="1" applyAlignment="1">
      <alignment horizontal="center" vertical="center" wrapText="1"/>
    </xf>
    <xf numFmtId="1" fontId="21" fillId="2" borderId="40" xfId="0" applyNumberFormat="1" applyFont="1" applyFill="1" applyBorder="1" applyAlignment="1">
      <alignment horizontal="center" vertical="center" wrapText="1"/>
    </xf>
    <xf numFmtId="165" fontId="38" fillId="2" borderId="40" xfId="0" applyNumberFormat="1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6" fontId="23" fillId="2" borderId="29" xfId="0" applyNumberFormat="1" applyFont="1" applyFill="1" applyBorder="1" applyAlignment="1">
      <alignment horizontal="center" vertical="center" wrapText="1"/>
    </xf>
    <xf numFmtId="166" fontId="43" fillId="2" borderId="12" xfId="0" applyNumberFormat="1" applyFont="1" applyFill="1" applyBorder="1" applyAlignment="1">
      <alignment horizontal="center" vertical="center" wrapText="1"/>
    </xf>
    <xf numFmtId="166" fontId="43" fillId="2" borderId="1" xfId="0" applyNumberFormat="1" applyFont="1" applyFill="1" applyBorder="1" applyAlignment="1">
      <alignment horizontal="center" vertical="center" wrapText="1"/>
    </xf>
    <xf numFmtId="1" fontId="43" fillId="2" borderId="1" xfId="0" applyNumberFormat="1" applyFont="1" applyFill="1" applyBorder="1" applyAlignment="1">
      <alignment horizontal="center" vertical="center" wrapText="1"/>
    </xf>
    <xf numFmtId="166" fontId="43" fillId="2" borderId="30" xfId="0" applyNumberFormat="1" applyFont="1" applyFill="1" applyBorder="1" applyAlignment="1">
      <alignment horizontal="center" vertical="center" wrapText="1"/>
    </xf>
    <xf numFmtId="166" fontId="23" fillId="2" borderId="32" xfId="0" applyNumberFormat="1" applyFont="1" applyFill="1" applyBorder="1" applyAlignment="1">
      <alignment horizontal="center" vertical="center" wrapText="1"/>
    </xf>
    <xf numFmtId="166" fontId="35" fillId="2" borderId="9" xfId="0" applyNumberFormat="1" applyFont="1" applyFill="1" applyBorder="1" applyAlignment="1">
      <alignment horizontal="center" vertical="center" wrapText="1"/>
    </xf>
    <xf numFmtId="166" fontId="35" fillId="2" borderId="10" xfId="0" applyNumberFormat="1" applyFont="1" applyFill="1" applyBorder="1" applyAlignment="1">
      <alignment horizontal="center" vertical="center" wrapText="1"/>
    </xf>
    <xf numFmtId="2" fontId="35" fillId="2" borderId="11" xfId="0" applyNumberFormat="1" applyFont="1" applyFill="1" applyBorder="1" applyAlignment="1">
      <alignment horizontal="center" vertical="center" wrapText="1"/>
    </xf>
    <xf numFmtId="166" fontId="35" fillId="2" borderId="34" xfId="0" applyNumberFormat="1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wrapText="1"/>
    </xf>
    <xf numFmtId="166" fontId="23" fillId="2" borderId="38" xfId="0" applyNumberFormat="1" applyFont="1" applyFill="1" applyBorder="1" applyAlignment="1">
      <alignment horizontal="center" vertical="center" wrapText="1"/>
    </xf>
    <xf numFmtId="166" fontId="44" fillId="2" borderId="21" xfId="0" applyNumberFormat="1" applyFont="1" applyFill="1" applyBorder="1" applyAlignment="1">
      <alignment horizontal="center" vertical="center" wrapText="1"/>
    </xf>
    <xf numFmtId="166" fontId="44" fillId="2" borderId="39" xfId="0" applyNumberFormat="1" applyFont="1" applyFill="1" applyBorder="1" applyAlignment="1">
      <alignment horizontal="center" vertical="center" wrapText="1"/>
    </xf>
    <xf numFmtId="2" fontId="44" fillId="2" borderId="22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wrapText="1"/>
    </xf>
    <xf numFmtId="166" fontId="44" fillId="2" borderId="12" xfId="0" applyNumberFormat="1" applyFont="1" applyFill="1" applyBorder="1" applyAlignment="1">
      <alignment horizontal="center" vertical="center" wrapText="1"/>
    </xf>
    <xf numFmtId="166" fontId="44" fillId="2" borderId="1" xfId="0" applyNumberFormat="1" applyFont="1" applyFill="1" applyBorder="1" applyAlignment="1">
      <alignment horizontal="center" vertical="center" wrapText="1"/>
    </xf>
    <xf numFmtId="166" fontId="44" fillId="2" borderId="18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2" fontId="44" fillId="2" borderId="18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wrapText="1"/>
    </xf>
    <xf numFmtId="166" fontId="44" fillId="2" borderId="9" xfId="0" applyNumberFormat="1" applyFont="1" applyFill="1" applyBorder="1" applyAlignment="1">
      <alignment horizontal="center" vertical="center" wrapText="1"/>
    </xf>
    <xf numFmtId="166" fontId="44" fillId="2" borderId="10" xfId="0" applyNumberFormat="1" applyFont="1" applyFill="1" applyBorder="1" applyAlignment="1">
      <alignment horizontal="center" vertical="center" wrapText="1"/>
    </xf>
    <xf numFmtId="2" fontId="44" fillId="2" borderId="1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top"/>
    </xf>
    <xf numFmtId="2" fontId="43" fillId="2" borderId="1" xfId="0" applyNumberFormat="1" applyFont="1" applyFill="1" applyBorder="1" applyAlignment="1">
      <alignment horizontal="center" vertical="center" wrapText="1"/>
    </xf>
    <xf numFmtId="2" fontId="43" fillId="2" borderId="18" xfId="0" applyNumberFormat="1" applyFont="1" applyFill="1" applyBorder="1" applyAlignment="1">
      <alignment horizontal="center" vertical="center" wrapText="1"/>
    </xf>
    <xf numFmtId="166" fontId="43" fillId="2" borderId="1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4" fillId="0" borderId="32" xfId="0" applyFont="1" applyFill="1" applyBorder="1" applyAlignment="1">
      <alignment horizontal="center" textRotation="90"/>
    </xf>
    <xf numFmtId="0" fontId="19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27" xfId="0" applyFont="1" applyFill="1" applyBorder="1" applyAlignment="1">
      <alignment horizontal="center" wrapText="1"/>
    </xf>
    <xf numFmtId="0" fontId="35" fillId="2" borderId="43" xfId="0" applyFont="1" applyFill="1" applyBorder="1" applyAlignment="1">
      <alignment horizontal="center" wrapText="1"/>
    </xf>
    <xf numFmtId="0" fontId="35" fillId="2" borderId="27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wrapText="1"/>
    </xf>
    <xf numFmtId="0" fontId="35" fillId="2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center" textRotation="90"/>
    </xf>
    <xf numFmtId="0" fontId="34" fillId="0" borderId="10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42" xfId="0" applyFont="1" applyFill="1" applyBorder="1" applyAlignment="1">
      <alignment horizontal="center" wrapText="1"/>
    </xf>
    <xf numFmtId="0" fontId="35" fillId="2" borderId="42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165" fontId="21" fillId="2" borderId="52" xfId="0" applyNumberFormat="1" applyFont="1" applyFill="1" applyBorder="1" applyAlignment="1">
      <alignment horizontal="center" vertical="center"/>
    </xf>
    <xf numFmtId="165" fontId="21" fillId="2" borderId="53" xfId="0" applyNumberFormat="1" applyFont="1" applyFill="1" applyBorder="1" applyAlignment="1">
      <alignment horizontal="center" vertical="center"/>
    </xf>
    <xf numFmtId="165" fontId="21" fillId="2" borderId="54" xfId="0" applyNumberFormat="1" applyFont="1" applyFill="1" applyBorder="1" applyAlignment="1">
      <alignment horizontal="center" vertical="center"/>
    </xf>
    <xf numFmtId="165" fontId="21" fillId="2" borderId="5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1" fillId="2" borderId="5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" fillId="2" borderId="56" xfId="0" applyNumberFormat="1" applyFont="1" applyFill="1" applyBorder="1" applyAlignment="1">
      <alignment horizontal="center" vertical="center" wrapText="1"/>
    </xf>
    <xf numFmtId="0" fontId="2" fillId="2" borderId="57" xfId="0" applyNumberFormat="1" applyFont="1" applyFill="1" applyBorder="1" applyAlignment="1">
      <alignment horizontal="center" vertical="center" wrapText="1"/>
    </xf>
    <xf numFmtId="0" fontId="27" fillId="2" borderId="52" xfId="0" applyNumberFormat="1" applyFont="1" applyFill="1" applyBorder="1" applyAlignment="1">
      <alignment horizontal="center" vertical="center" wrapText="1"/>
    </xf>
    <xf numFmtId="0" fontId="27" fillId="2" borderId="53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wrapText="1"/>
    </xf>
    <xf numFmtId="0" fontId="0" fillId="0" borderId="58" xfId="0" applyFill="1" applyBorder="1" applyAlignment="1"/>
    <xf numFmtId="0" fontId="0" fillId="0" borderId="57" xfId="0" applyFill="1" applyBorder="1" applyAlignment="1"/>
    <xf numFmtId="49" fontId="27" fillId="2" borderId="56" xfId="0" applyNumberFormat="1" applyFont="1" applyFill="1" applyBorder="1" applyAlignment="1">
      <alignment horizontal="center" vertical="center" wrapText="1"/>
    </xf>
    <xf numFmtId="49" fontId="27" fillId="2" borderId="57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19" fillId="2" borderId="56" xfId="0" applyNumberFormat="1" applyFont="1" applyFill="1" applyBorder="1" applyAlignment="1">
      <alignment horizontal="center" vertical="center" wrapText="1"/>
    </xf>
    <xf numFmtId="0" fontId="19" fillId="2" borderId="57" xfId="0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13" xfId="0" applyNumberFormat="1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39" fillId="0" borderId="17" xfId="0" applyFont="1" applyFill="1" applyBorder="1" applyAlignment="1">
      <alignment vertical="top"/>
    </xf>
    <xf numFmtId="0" fontId="39" fillId="0" borderId="55" xfId="0" applyFont="1" applyFill="1" applyBorder="1" applyAlignment="1">
      <alignment vertical="top"/>
    </xf>
    <xf numFmtId="0" fontId="9" fillId="0" borderId="2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43" xfId="0" applyFont="1" applyFill="1" applyBorder="1" applyAlignment="1">
      <alignment horizont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textRotation="1"/>
    </xf>
    <xf numFmtId="0" fontId="10" fillId="0" borderId="48" xfId="0" applyFont="1" applyFill="1" applyBorder="1" applyAlignment="1">
      <alignment horizontal="center" vertical="center" textRotation="1"/>
    </xf>
    <xf numFmtId="0" fontId="10" fillId="0" borderId="49" xfId="0" applyFont="1" applyFill="1" applyBorder="1" applyAlignment="1">
      <alignment horizontal="center" vertical="center" textRotation="1"/>
    </xf>
    <xf numFmtId="0" fontId="10" fillId="0" borderId="50" xfId="0" applyFont="1" applyFill="1" applyBorder="1" applyAlignment="1">
      <alignment horizontal="center" vertical="center" textRotation="1"/>
    </xf>
    <xf numFmtId="0" fontId="10" fillId="0" borderId="17" xfId="0" applyFont="1" applyFill="1" applyBorder="1" applyAlignment="1">
      <alignment horizontal="center" vertical="center" textRotation="1"/>
    </xf>
    <xf numFmtId="0" fontId="10" fillId="0" borderId="51" xfId="0" applyFont="1" applyFill="1" applyBorder="1" applyAlignment="1">
      <alignment horizontal="center" vertical="center" textRotation="1"/>
    </xf>
    <xf numFmtId="0" fontId="10" fillId="0" borderId="1" xfId="0" applyFont="1" applyFill="1" applyBorder="1" applyAlignment="1">
      <alignment horizontal="center" textRotation="90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vertical="top" wrapText="1"/>
    </xf>
    <xf numFmtId="0" fontId="15" fillId="0" borderId="5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left" vertical="center"/>
    </xf>
    <xf numFmtId="0" fontId="40" fillId="0" borderId="53" xfId="0" applyFont="1" applyBorder="1" applyAlignment="1"/>
    <xf numFmtId="0" fontId="9" fillId="0" borderId="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5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textRotation="90" wrapText="1"/>
    </xf>
    <xf numFmtId="0" fontId="37" fillId="0" borderId="6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18" fillId="0" borderId="3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justify"/>
    </xf>
    <xf numFmtId="0" fontId="15" fillId="0" borderId="37" xfId="0" applyFont="1" applyBorder="1" applyAlignment="1">
      <alignment horizontal="center" vertical="justify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textRotation="90" wrapText="1"/>
    </xf>
    <xf numFmtId="0" fontId="36" fillId="0" borderId="43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33</xdr:row>
      <xdr:rowOff>209550</xdr:rowOff>
    </xdr:from>
    <xdr:to>
      <xdr:col>16</xdr:col>
      <xdr:colOff>295275</xdr:colOff>
      <xdr:row>33</xdr:row>
      <xdr:rowOff>209550</xdr:rowOff>
    </xdr:to>
    <xdr:sp macro="" textlink="">
      <xdr:nvSpPr>
        <xdr:cNvPr id="2" name="Word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505700" y="10334625"/>
          <a:ext cx="22098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1"/>
  <sheetViews>
    <sheetView topLeftCell="A6" zoomScale="85" zoomScaleNormal="85" workbookViewId="0">
      <selection activeCell="K12" sqref="K12"/>
    </sheetView>
  </sheetViews>
  <sheetFormatPr defaultRowHeight="15" x14ac:dyDescent="0.25"/>
  <cols>
    <col min="1" max="1" width="18.5703125" style="8" customWidth="1"/>
    <col min="2" max="2" width="18.7109375" style="8" customWidth="1"/>
    <col min="3" max="3" width="10.5703125" style="8" customWidth="1"/>
    <col min="4" max="4" width="13.85546875" style="8" customWidth="1"/>
    <col min="5" max="5" width="13" style="8" customWidth="1"/>
    <col min="6" max="6" width="11.85546875" style="8" customWidth="1"/>
    <col min="7" max="7" width="10" style="8" bestFit="1" customWidth="1"/>
    <col min="8" max="8" width="9.28515625" style="8" bestFit="1" customWidth="1"/>
    <col min="9" max="9" width="9.85546875" style="8" bestFit="1" customWidth="1"/>
    <col min="10" max="10" width="11" style="8" bestFit="1" customWidth="1"/>
    <col min="11" max="11" width="10" style="8" bestFit="1" customWidth="1"/>
    <col min="12" max="14" width="9.28515625" style="8" bestFit="1" customWidth="1"/>
    <col min="15" max="16" width="11" style="8" bestFit="1" customWidth="1"/>
    <col min="17" max="17" width="10" style="8" bestFit="1" customWidth="1"/>
    <col min="18" max="20" width="9.28515625" style="8" bestFit="1" customWidth="1"/>
    <col min="21" max="21" width="12.28515625" style="8" customWidth="1"/>
    <col min="22" max="23" width="10" style="8" bestFit="1" customWidth="1"/>
    <col min="24" max="24" width="9.28515625" style="8" bestFit="1" customWidth="1"/>
    <col min="25" max="16384" width="9.140625" style="8"/>
  </cols>
  <sheetData>
    <row r="1" spans="1:24" ht="22.5" x14ac:dyDescent="0.25">
      <c r="A1" s="35" t="s">
        <v>102</v>
      </c>
      <c r="U1" s="25" t="s">
        <v>264</v>
      </c>
    </row>
    <row r="3" spans="1:24" ht="18.75" x14ac:dyDescent="0.3">
      <c r="A3" s="36" t="s">
        <v>231</v>
      </c>
      <c r="B3" s="37"/>
      <c r="C3" s="38"/>
      <c r="D3" s="39"/>
      <c r="E3" s="40"/>
      <c r="F3" s="40"/>
      <c r="G3" s="40"/>
      <c r="H3" s="40"/>
      <c r="I3" s="41" t="s">
        <v>229</v>
      </c>
      <c r="J3" s="40"/>
      <c r="K3" s="40"/>
      <c r="L3" s="40"/>
      <c r="M3" s="40"/>
      <c r="N3" s="40"/>
      <c r="O3" s="40"/>
      <c r="P3" s="40"/>
      <c r="Q3" s="36"/>
      <c r="R3" s="42"/>
      <c r="S3" s="42"/>
    </row>
    <row r="5" spans="1:24" ht="15.75" thickBot="1" x14ac:dyDescent="0.3"/>
    <row r="6" spans="1:24" ht="56.25" customHeight="1" x14ac:dyDescent="0.25">
      <c r="A6" s="195" t="s">
        <v>74</v>
      </c>
      <c r="B6" s="197" t="s">
        <v>232</v>
      </c>
      <c r="C6" s="199" t="s">
        <v>75</v>
      </c>
      <c r="D6" s="197" t="s">
        <v>60</v>
      </c>
      <c r="E6" s="197" t="s">
        <v>61</v>
      </c>
      <c r="F6" s="179" t="s">
        <v>99</v>
      </c>
      <c r="G6" s="181" t="s">
        <v>71</v>
      </c>
      <c r="H6" s="182"/>
      <c r="I6" s="182"/>
      <c r="J6" s="182"/>
      <c r="K6" s="182"/>
      <c r="L6" s="183"/>
      <c r="M6" s="181" t="s">
        <v>72</v>
      </c>
      <c r="N6" s="182"/>
      <c r="O6" s="182"/>
      <c r="P6" s="182"/>
      <c r="Q6" s="182"/>
      <c r="R6" s="183"/>
      <c r="S6" s="181" t="s">
        <v>73</v>
      </c>
      <c r="T6" s="182"/>
      <c r="U6" s="182"/>
      <c r="V6" s="182"/>
      <c r="W6" s="182"/>
      <c r="X6" s="183"/>
    </row>
    <row r="7" spans="1:24" ht="57.75" customHeight="1" thickBot="1" x14ac:dyDescent="0.3">
      <c r="A7" s="196"/>
      <c r="B7" s="198"/>
      <c r="C7" s="200"/>
      <c r="D7" s="201"/>
      <c r="E7" s="201"/>
      <c r="F7" s="180"/>
      <c r="G7" s="86" t="s">
        <v>62</v>
      </c>
      <c r="H7" s="87" t="s">
        <v>63</v>
      </c>
      <c r="I7" s="87" t="s">
        <v>64</v>
      </c>
      <c r="J7" s="87" t="s">
        <v>65</v>
      </c>
      <c r="K7" s="87" t="s">
        <v>66</v>
      </c>
      <c r="L7" s="88" t="s">
        <v>67</v>
      </c>
      <c r="M7" s="86" t="s">
        <v>62</v>
      </c>
      <c r="N7" s="87" t="s">
        <v>63</v>
      </c>
      <c r="O7" s="87" t="s">
        <v>64</v>
      </c>
      <c r="P7" s="87" t="s">
        <v>65</v>
      </c>
      <c r="Q7" s="87" t="s">
        <v>66</v>
      </c>
      <c r="R7" s="88" t="s">
        <v>67</v>
      </c>
      <c r="S7" s="86" t="s">
        <v>62</v>
      </c>
      <c r="T7" s="87" t="s">
        <v>63</v>
      </c>
      <c r="U7" s="87" t="s">
        <v>64</v>
      </c>
      <c r="V7" s="87" t="s">
        <v>65</v>
      </c>
      <c r="W7" s="87" t="s">
        <v>66</v>
      </c>
      <c r="X7" s="88" t="s">
        <v>67</v>
      </c>
    </row>
    <row r="8" spans="1:24" x14ac:dyDescent="0.25">
      <c r="A8" s="140">
        <v>1</v>
      </c>
      <c r="B8" s="141">
        <v>2</v>
      </c>
      <c r="C8" s="142">
        <v>3</v>
      </c>
      <c r="D8" s="142">
        <v>4</v>
      </c>
      <c r="E8" s="142">
        <v>5</v>
      </c>
      <c r="F8" s="143">
        <v>6</v>
      </c>
      <c r="G8" s="144">
        <v>7</v>
      </c>
      <c r="H8" s="141">
        <v>8</v>
      </c>
      <c r="I8" s="142">
        <v>9</v>
      </c>
      <c r="J8" s="142">
        <v>10</v>
      </c>
      <c r="K8" s="142">
        <v>11</v>
      </c>
      <c r="L8" s="145">
        <v>12</v>
      </c>
      <c r="M8" s="146">
        <v>13</v>
      </c>
      <c r="N8" s="147">
        <v>14</v>
      </c>
      <c r="O8" s="147">
        <v>15</v>
      </c>
      <c r="P8" s="147">
        <v>16</v>
      </c>
      <c r="Q8" s="147">
        <v>17</v>
      </c>
      <c r="R8" s="148">
        <v>18</v>
      </c>
      <c r="S8" s="149">
        <v>19</v>
      </c>
      <c r="T8" s="147">
        <v>20</v>
      </c>
      <c r="U8" s="147">
        <v>21</v>
      </c>
      <c r="V8" s="147">
        <v>22</v>
      </c>
      <c r="W8" s="147">
        <v>23</v>
      </c>
      <c r="X8" s="89">
        <v>24</v>
      </c>
    </row>
    <row r="9" spans="1:24" ht="15.75" customHeight="1" x14ac:dyDescent="0.25">
      <c r="A9" s="202" t="s">
        <v>233</v>
      </c>
      <c r="B9" s="188" t="s">
        <v>234</v>
      </c>
      <c r="C9" s="194" t="s">
        <v>239</v>
      </c>
      <c r="D9" s="194">
        <v>610</v>
      </c>
      <c r="E9" s="194"/>
      <c r="F9" s="150" t="s">
        <v>151</v>
      </c>
      <c r="G9" s="175">
        <v>82.046012878417969</v>
      </c>
      <c r="H9" s="175">
        <v>117.07033538818359</v>
      </c>
      <c r="I9" s="175">
        <f>6.331871509552*1000</f>
        <v>6331.8715095520001</v>
      </c>
      <c r="J9" s="175">
        <f>15.2483406066894*1000</f>
        <v>15248.3406066894</v>
      </c>
      <c r="K9" s="176">
        <f>G9*H9/1000</f>
        <v>9.6051542449396212</v>
      </c>
      <c r="L9" s="177">
        <f>J9/I9</f>
        <v>2.4081885716863303</v>
      </c>
      <c r="M9" s="175">
        <v>88.978530883789063</v>
      </c>
      <c r="N9" s="175">
        <v>115.23944091796875</v>
      </c>
      <c r="O9" s="175">
        <f>14.5884437561035*1000</f>
        <v>14588.443756103499</v>
      </c>
      <c r="P9" s="175">
        <f>10.3069667816162*1000</f>
        <v>10306.9667816162</v>
      </c>
      <c r="Q9" s="176">
        <f>M9*N9/1000</f>
        <v>10.253836152750067</v>
      </c>
      <c r="R9" s="177">
        <f>P9/O9</f>
        <v>0.70651585281699303</v>
      </c>
      <c r="S9" s="175">
        <v>66.027183532714844</v>
      </c>
      <c r="T9" s="175">
        <v>115.87348175048828</v>
      </c>
      <c r="U9" s="175">
        <f>11.4382200241088*1000</f>
        <v>11438.220024108799</v>
      </c>
      <c r="V9" s="175">
        <f>6.04120254516601*1000</f>
        <v>6041.2025451660102</v>
      </c>
      <c r="W9" s="176">
        <f>S9*T9/1000</f>
        <v>7.6507996461141738</v>
      </c>
      <c r="X9" s="177">
        <f>V9/U9</f>
        <v>0.52815932307935354</v>
      </c>
    </row>
    <row r="10" spans="1:24" ht="15.75" customHeight="1" x14ac:dyDescent="0.25">
      <c r="A10" s="185"/>
      <c r="B10" s="188"/>
      <c r="C10" s="192"/>
      <c r="D10" s="192"/>
      <c r="E10" s="192"/>
      <c r="F10" s="150" t="s">
        <v>152</v>
      </c>
      <c r="G10" s="151"/>
      <c r="H10" s="152"/>
      <c r="I10" s="153"/>
      <c r="J10" s="153"/>
      <c r="K10" s="176"/>
      <c r="L10" s="178"/>
      <c r="M10" s="151"/>
      <c r="N10" s="152"/>
      <c r="O10" s="153"/>
      <c r="P10" s="153"/>
      <c r="Q10" s="176"/>
      <c r="R10" s="178"/>
      <c r="S10" s="151"/>
      <c r="T10" s="152"/>
      <c r="U10" s="152"/>
      <c r="V10" s="152"/>
      <c r="W10" s="176"/>
      <c r="X10" s="178"/>
    </row>
    <row r="11" spans="1:24" ht="15" customHeight="1" x14ac:dyDescent="0.25">
      <c r="A11" s="185"/>
      <c r="B11" s="188" t="s">
        <v>235</v>
      </c>
      <c r="C11" s="194" t="s">
        <v>239</v>
      </c>
      <c r="D11" s="194">
        <v>610</v>
      </c>
      <c r="E11" s="194"/>
      <c r="F11" s="150" t="s">
        <v>151</v>
      </c>
      <c r="G11" s="175">
        <v>13.965994834899902</v>
      </c>
      <c r="H11" s="175">
        <v>117.35530090332031</v>
      </c>
      <c r="I11" s="175">
        <f>-1.9718359708786*1000</f>
        <v>-1971.8359708785999</v>
      </c>
      <c r="J11" s="175">
        <f>-2.03468322753906*1000</f>
        <v>-2034.6832275390598</v>
      </c>
      <c r="K11" s="176">
        <f t="shared" ref="K11:K17" si="0">G11*H11/1000</f>
        <v>1.6389835262638954</v>
      </c>
      <c r="L11" s="177">
        <f>J11/I11</f>
        <v>1.0318724567299868</v>
      </c>
      <c r="M11" s="175">
        <v>17.263988494873047</v>
      </c>
      <c r="N11" s="175">
        <v>115.56002044677734</v>
      </c>
      <c r="O11" s="175">
        <f>-2.56102991104125*1000</f>
        <v>-2561.0299110412502</v>
      </c>
      <c r="P11" s="175">
        <f>-2.26250505447387*1000</f>
        <v>-2262.5050544738697</v>
      </c>
      <c r="Q11" s="176">
        <f t="shared" ref="Q11:Q17" si="1">M11*N11/1000</f>
        <v>1.9950268634604582</v>
      </c>
      <c r="R11" s="177">
        <f>P11/O11</f>
        <v>0.88343562280145027</v>
      </c>
      <c r="S11" s="175">
        <v>14.706360816955566</v>
      </c>
      <c r="T11" s="175">
        <v>116.22612762451172</v>
      </c>
      <c r="U11" s="175">
        <f>-2.2389371395111*1000</f>
        <v>-2238.9371395110998</v>
      </c>
      <c r="V11" s="175">
        <f>-1.9639800786972*1000</f>
        <v>-1963.9800786971998</v>
      </c>
      <c r="W11" s="176">
        <f t="shared" ref="W11:W17" si="2">S11*T11/1000</f>
        <v>1.7092633692035961</v>
      </c>
      <c r="X11" s="177">
        <f>V11/U11</f>
        <v>0.87719304130443776</v>
      </c>
    </row>
    <row r="12" spans="1:24" x14ac:dyDescent="0.25">
      <c r="A12" s="186"/>
      <c r="B12" s="188"/>
      <c r="C12" s="192"/>
      <c r="D12" s="192"/>
      <c r="E12" s="192"/>
      <c r="F12" s="150" t="s">
        <v>152</v>
      </c>
      <c r="G12" s="151"/>
      <c r="H12" s="152"/>
      <c r="I12" s="152"/>
      <c r="J12" s="152"/>
      <c r="K12" s="176"/>
      <c r="L12" s="178"/>
      <c r="M12" s="151"/>
      <c r="N12" s="152"/>
      <c r="O12" s="152"/>
      <c r="P12" s="152"/>
      <c r="Q12" s="176"/>
      <c r="R12" s="178"/>
      <c r="S12" s="151"/>
      <c r="T12" s="152"/>
      <c r="U12" s="152"/>
      <c r="V12" s="152"/>
      <c r="W12" s="176"/>
      <c r="X12" s="178"/>
    </row>
    <row r="13" spans="1:24" ht="15.75" customHeight="1" x14ac:dyDescent="0.25">
      <c r="A13" s="202" t="s">
        <v>233</v>
      </c>
      <c r="B13" s="188" t="s">
        <v>236</v>
      </c>
      <c r="C13" s="194" t="s">
        <v>239</v>
      </c>
      <c r="D13" s="194">
        <v>610</v>
      </c>
      <c r="E13" s="194"/>
      <c r="F13" s="150" t="s">
        <v>151</v>
      </c>
      <c r="G13" s="175">
        <v>83.829620361328125</v>
      </c>
      <c r="H13" s="175">
        <v>117.34104919433594</v>
      </c>
      <c r="I13" s="175">
        <f>6.73252344131469*1000</f>
        <v>6732.52344131469</v>
      </c>
      <c r="J13" s="175">
        <f>15.4918746948242*1000</f>
        <v>15491.874694824199</v>
      </c>
      <c r="K13" s="176">
        <f t="shared" si="0"/>
        <v>9.8366556067611093</v>
      </c>
      <c r="L13" s="177">
        <f>J13/I13</f>
        <v>2.3010502421361094</v>
      </c>
      <c r="M13" s="175">
        <v>90.358299255371094</v>
      </c>
      <c r="N13" s="175">
        <v>115.506591796875</v>
      </c>
      <c r="O13" s="175">
        <f>15.0283756256103*1000</f>
        <v>15028.375625610301</v>
      </c>
      <c r="P13" s="175">
        <f>10.1341371536254*1000</f>
        <v>10134.137153625399</v>
      </c>
      <c r="Q13" s="176">
        <f t="shared" si="1"/>
        <v>10.436979187550023</v>
      </c>
      <c r="R13" s="177">
        <f>P13/O13</f>
        <v>0.67433350124384139</v>
      </c>
      <c r="S13" s="175">
        <v>64.142616271972656</v>
      </c>
      <c r="T13" s="175">
        <v>116.09432983398437</v>
      </c>
      <c r="U13" s="175">
        <f>11.9409990310668*1000</f>
        <v>11940.9990310668</v>
      </c>
      <c r="V13" s="175">
        <f>5.8133807182312*1000</f>
        <v>5813.3807182312003</v>
      </c>
      <c r="W13" s="176">
        <f t="shared" si="2"/>
        <v>7.4465940498930872</v>
      </c>
      <c r="X13" s="177">
        <f>V13/U13</f>
        <v>0.48684207268642893</v>
      </c>
    </row>
    <row r="14" spans="1:24" x14ac:dyDescent="0.25">
      <c r="A14" s="185"/>
      <c r="B14" s="188"/>
      <c r="C14" s="192"/>
      <c r="D14" s="192"/>
      <c r="E14" s="192"/>
      <c r="F14" s="150" t="s">
        <v>152</v>
      </c>
      <c r="G14" s="151"/>
      <c r="H14" s="152"/>
      <c r="I14" s="152"/>
      <c r="J14" s="152"/>
      <c r="K14" s="176"/>
      <c r="L14" s="177"/>
      <c r="M14" s="154"/>
      <c r="N14" s="152"/>
      <c r="O14" s="152"/>
      <c r="P14" s="152"/>
      <c r="Q14" s="176"/>
      <c r="R14" s="177"/>
      <c r="S14" s="151"/>
      <c r="T14" s="152"/>
      <c r="U14" s="152"/>
      <c r="V14" s="152"/>
      <c r="W14" s="176"/>
      <c r="X14" s="177"/>
    </row>
    <row r="15" spans="1:24" ht="15.75" customHeight="1" x14ac:dyDescent="0.25">
      <c r="A15" s="185"/>
      <c r="B15" s="188" t="s">
        <v>237</v>
      </c>
      <c r="C15" s="194" t="s">
        <v>239</v>
      </c>
      <c r="D15" s="194">
        <v>610</v>
      </c>
      <c r="E15" s="194"/>
      <c r="F15" s="150" t="s">
        <v>151</v>
      </c>
      <c r="G15" s="175">
        <v>124.24687194824219</v>
      </c>
      <c r="H15" s="175">
        <v>117.37667083740234</v>
      </c>
      <c r="I15" s="175">
        <f>-6.69324398040771*1000</f>
        <v>-6693.2439804077103</v>
      </c>
      <c r="J15" s="175">
        <f>-24.2826499938964*1000</f>
        <v>-24282.649993896401</v>
      </c>
      <c r="K15" s="176">
        <f t="shared" si="0"/>
        <v>14.583684191245702</v>
      </c>
      <c r="L15" s="177">
        <f>Нагрузка_ПС!J15/Нагрузка_ПС!I15</f>
        <v>3.6279343865210865</v>
      </c>
      <c r="M15" s="175">
        <v>131.68418884277344</v>
      </c>
      <c r="N15" s="175">
        <v>115.57783508300781</v>
      </c>
      <c r="O15" s="175">
        <f>-22.1615505218505*1000</f>
        <v>-22161.550521850502</v>
      </c>
      <c r="P15" s="175">
        <f>-14.36847782135*1000</f>
        <v>-14368.477821349999</v>
      </c>
      <c r="Q15" s="176">
        <f t="shared" si="1"/>
        <v>15.219773461109726</v>
      </c>
      <c r="R15" s="177">
        <f>P15/O15</f>
        <v>0.64835164882453467</v>
      </c>
      <c r="S15" s="175">
        <v>95.103370666503906</v>
      </c>
      <c r="T15" s="175">
        <v>116.17269897460937</v>
      </c>
      <c r="U15" s="175">
        <f>-17.9664897918701*1000</f>
        <v>-17966.489791870099</v>
      </c>
      <c r="V15" s="175">
        <f>-5.83694887161254*1000</f>
        <v>-5836.9488716125397</v>
      </c>
      <c r="W15" s="176">
        <f t="shared" si="2"/>
        <v>11.048415251910454</v>
      </c>
      <c r="X15" s="177">
        <f>V15/U15</f>
        <v>0.32487975888611142</v>
      </c>
    </row>
    <row r="16" spans="1:24" x14ac:dyDescent="0.25">
      <c r="A16" s="185"/>
      <c r="B16" s="188"/>
      <c r="C16" s="192"/>
      <c r="D16" s="192"/>
      <c r="E16" s="192"/>
      <c r="F16" s="150" t="s">
        <v>152</v>
      </c>
      <c r="G16" s="151"/>
      <c r="H16" s="152"/>
      <c r="I16" s="152"/>
      <c r="J16" s="152"/>
      <c r="K16" s="176"/>
      <c r="L16" s="177"/>
      <c r="M16" s="154"/>
      <c r="N16" s="152"/>
      <c r="O16" s="152"/>
      <c r="P16" s="152"/>
      <c r="Q16" s="176"/>
      <c r="R16" s="177"/>
      <c r="S16" s="151"/>
      <c r="T16" s="152"/>
      <c r="U16" s="152"/>
      <c r="V16" s="152"/>
      <c r="W16" s="176"/>
      <c r="X16" s="177"/>
    </row>
    <row r="17" spans="1:24" ht="15" customHeight="1" x14ac:dyDescent="0.25">
      <c r="A17" s="185"/>
      <c r="B17" s="188" t="s">
        <v>238</v>
      </c>
      <c r="C17" s="194" t="s">
        <v>239</v>
      </c>
      <c r="D17" s="194">
        <v>610</v>
      </c>
      <c r="E17" s="194"/>
      <c r="F17" s="150" t="s">
        <v>151</v>
      </c>
      <c r="G17" s="175">
        <v>8.8843917846679687</v>
      </c>
      <c r="H17" s="175">
        <v>117.44791412353516</v>
      </c>
      <c r="I17" s="175">
        <f>-1.37478601932525*1000</f>
        <v>-1374.78601932525</v>
      </c>
      <c r="J17" s="175">
        <f>-1.02912557125091*1000</f>
        <v>-1029.1255712509101</v>
      </c>
      <c r="K17" s="176">
        <f t="shared" si="0"/>
        <v>1.0434532833655248</v>
      </c>
      <c r="L17" s="177">
        <f>J17/I17</f>
        <v>0.74857145532801439</v>
      </c>
      <c r="M17" s="175">
        <v>10.365123748779297</v>
      </c>
      <c r="N17" s="175">
        <v>115.68825531005859</v>
      </c>
      <c r="O17" s="175">
        <f>-1.94826817512512*1000</f>
        <v>-1948.26817512512</v>
      </c>
      <c r="P17" s="175">
        <f>-0.950566351413726*1000</f>
        <v>-950.56635141372601</v>
      </c>
      <c r="Q17" s="176">
        <f t="shared" si="1"/>
        <v>1.199123082569131</v>
      </c>
      <c r="R17" s="177">
        <f>P17/O17</f>
        <v>0.487903238142603</v>
      </c>
      <c r="S17" s="175">
        <v>8.0094137191772461</v>
      </c>
      <c r="T17" s="175">
        <v>116.31161499023437</v>
      </c>
      <c r="U17" s="175">
        <f>-1.41406559944152*1000</f>
        <v>-1414.0655994415201</v>
      </c>
      <c r="V17" s="175">
        <f>-0.8562952876091*1000</f>
        <v>-856.2952876091</v>
      </c>
      <c r="W17" s="176">
        <f t="shared" si="2"/>
        <v>0.93158784480244505</v>
      </c>
      <c r="X17" s="177">
        <f>V17/U17</f>
        <v>0.60555556117572662</v>
      </c>
    </row>
    <row r="18" spans="1:24" ht="15.75" thickBot="1" x14ac:dyDescent="0.3">
      <c r="A18" s="203"/>
      <c r="B18" s="204"/>
      <c r="C18" s="192"/>
      <c r="D18" s="192"/>
      <c r="E18" s="206"/>
      <c r="F18" s="155" t="s">
        <v>152</v>
      </c>
      <c r="G18" s="156"/>
      <c r="H18" s="157"/>
      <c r="I18" s="157"/>
      <c r="J18" s="157"/>
      <c r="K18" s="157"/>
      <c r="L18" s="158"/>
      <c r="M18" s="159"/>
      <c r="N18" s="157"/>
      <c r="O18" s="157"/>
      <c r="P18" s="157"/>
      <c r="Q18" s="157"/>
      <c r="R18" s="158"/>
      <c r="S18" s="156"/>
      <c r="T18" s="157"/>
      <c r="U18" s="157"/>
      <c r="V18" s="157"/>
      <c r="W18" s="157"/>
      <c r="X18" s="158"/>
    </row>
    <row r="19" spans="1:24" ht="15.75" x14ac:dyDescent="0.25">
      <c r="A19" s="184" t="s">
        <v>153</v>
      </c>
      <c r="B19" s="187" t="s">
        <v>147</v>
      </c>
      <c r="C19" s="189"/>
      <c r="D19" s="160">
        <v>77.3</v>
      </c>
      <c r="E19" s="191">
        <v>5</v>
      </c>
      <c r="F19" s="161" t="s">
        <v>151</v>
      </c>
      <c r="G19" s="162"/>
      <c r="H19" s="163"/>
      <c r="I19" s="163"/>
      <c r="J19" s="163"/>
      <c r="K19" s="163"/>
      <c r="L19" s="164"/>
      <c r="M19" s="162"/>
      <c r="N19" s="163"/>
      <c r="O19" s="163"/>
      <c r="P19" s="163"/>
      <c r="Q19" s="163"/>
      <c r="R19" s="164"/>
      <c r="S19" s="162"/>
      <c r="T19" s="163"/>
      <c r="U19" s="163"/>
      <c r="V19" s="163"/>
      <c r="W19" s="163"/>
      <c r="X19" s="164"/>
    </row>
    <row r="20" spans="1:24" ht="15.75" x14ac:dyDescent="0.25">
      <c r="A20" s="185"/>
      <c r="B20" s="188"/>
      <c r="C20" s="190"/>
      <c r="D20" s="165">
        <v>793</v>
      </c>
      <c r="E20" s="192"/>
      <c r="F20" s="150" t="s">
        <v>152</v>
      </c>
      <c r="G20" s="166">
        <v>186.3</v>
      </c>
      <c r="H20" s="167">
        <v>6.3</v>
      </c>
      <c r="I20" s="167">
        <v>1648</v>
      </c>
      <c r="J20" s="167">
        <v>1244.0999999999999</v>
      </c>
      <c r="K20" s="167">
        <v>2</v>
      </c>
      <c r="L20" s="168">
        <v>0.75</v>
      </c>
      <c r="M20" s="166">
        <v>213.5</v>
      </c>
      <c r="N20" s="167">
        <v>6.3</v>
      </c>
      <c r="O20" s="167">
        <v>1920</v>
      </c>
      <c r="P20" s="167">
        <v>1317</v>
      </c>
      <c r="Q20" s="167">
        <v>2.2999999999999998</v>
      </c>
      <c r="R20" s="168">
        <v>0.68</v>
      </c>
      <c r="S20" s="166">
        <v>168.5</v>
      </c>
      <c r="T20" s="167">
        <v>6.3</v>
      </c>
      <c r="U20" s="167">
        <v>1509</v>
      </c>
      <c r="V20" s="167">
        <v>1074</v>
      </c>
      <c r="W20" s="167">
        <v>1.8</v>
      </c>
      <c r="X20" s="168">
        <v>0.71</v>
      </c>
    </row>
    <row r="21" spans="1:24" ht="15" customHeight="1" x14ac:dyDescent="0.25">
      <c r="A21" s="185"/>
      <c r="B21" s="188" t="s">
        <v>149</v>
      </c>
      <c r="C21" s="193"/>
      <c r="D21" s="169">
        <v>77.3</v>
      </c>
      <c r="E21" s="194">
        <v>5</v>
      </c>
      <c r="F21" s="150" t="s">
        <v>151</v>
      </c>
      <c r="G21" s="166"/>
      <c r="H21" s="167"/>
      <c r="I21" s="167"/>
      <c r="J21" s="167"/>
      <c r="K21" s="167"/>
      <c r="L21" s="170"/>
      <c r="M21" s="166"/>
      <c r="N21" s="167"/>
      <c r="O21" s="167"/>
      <c r="P21" s="167"/>
      <c r="Q21" s="167"/>
      <c r="R21" s="170"/>
      <c r="S21" s="166"/>
      <c r="T21" s="167"/>
      <c r="U21" s="167"/>
      <c r="V21" s="167"/>
      <c r="W21" s="167"/>
      <c r="X21" s="170"/>
    </row>
    <row r="22" spans="1:24" ht="15.75" x14ac:dyDescent="0.25">
      <c r="A22" s="186"/>
      <c r="B22" s="188"/>
      <c r="C22" s="190"/>
      <c r="D22" s="165">
        <v>793</v>
      </c>
      <c r="E22" s="192"/>
      <c r="F22" s="150" t="s">
        <v>152</v>
      </c>
      <c r="G22" s="166">
        <v>203.8</v>
      </c>
      <c r="H22" s="167">
        <v>6.4</v>
      </c>
      <c r="I22" s="167">
        <v>1788</v>
      </c>
      <c r="J22" s="167">
        <v>1443</v>
      </c>
      <c r="K22" s="167">
        <v>2.2000000000000002</v>
      </c>
      <c r="L22" s="170">
        <v>0.8</v>
      </c>
      <c r="M22" s="166">
        <v>264.5</v>
      </c>
      <c r="N22" s="167">
        <v>6.36</v>
      </c>
      <c r="O22" s="167">
        <v>2460</v>
      </c>
      <c r="P22" s="167">
        <v>1530</v>
      </c>
      <c r="Q22" s="167">
        <v>2.8</v>
      </c>
      <c r="R22" s="170">
        <v>0.62</v>
      </c>
      <c r="S22" s="166">
        <v>199.8</v>
      </c>
      <c r="T22" s="167">
        <v>6.4</v>
      </c>
      <c r="U22" s="167">
        <v>1755</v>
      </c>
      <c r="V22" s="167">
        <v>1404</v>
      </c>
      <c r="W22" s="167">
        <v>2.2000000000000002</v>
      </c>
      <c r="X22" s="170">
        <v>0.8</v>
      </c>
    </row>
    <row r="23" spans="1:24" ht="15.75" x14ac:dyDescent="0.25">
      <c r="A23" s="202" t="s">
        <v>154</v>
      </c>
      <c r="B23" s="188" t="s">
        <v>148</v>
      </c>
      <c r="C23" s="193"/>
      <c r="D23" s="165">
        <v>125.5</v>
      </c>
      <c r="E23" s="194">
        <v>10</v>
      </c>
      <c r="F23" s="150" t="s">
        <v>151</v>
      </c>
      <c r="G23" s="166">
        <v>15.9</v>
      </c>
      <c r="H23" s="167">
        <v>117</v>
      </c>
      <c r="I23" s="167">
        <v>2805</v>
      </c>
      <c r="J23" s="167">
        <v>1665</v>
      </c>
      <c r="K23" s="167">
        <v>3.2</v>
      </c>
      <c r="L23" s="170">
        <v>0.59</v>
      </c>
      <c r="M23" s="166">
        <v>16.899999999999999</v>
      </c>
      <c r="N23" s="167">
        <v>115.9</v>
      </c>
      <c r="O23" s="167">
        <v>3063</v>
      </c>
      <c r="P23" s="167">
        <v>1518</v>
      </c>
      <c r="Q23" s="167">
        <v>3.44</v>
      </c>
      <c r="R23" s="170">
        <v>0.49</v>
      </c>
      <c r="S23" s="166">
        <v>14.46</v>
      </c>
      <c r="T23" s="167">
        <v>116.6</v>
      </c>
      <c r="U23" s="167">
        <v>2496</v>
      </c>
      <c r="V23" s="167">
        <v>1515</v>
      </c>
      <c r="W23" s="167">
        <v>2.9</v>
      </c>
      <c r="X23" s="170">
        <v>0.6</v>
      </c>
    </row>
    <row r="24" spans="1:24" ht="15.75" x14ac:dyDescent="0.25">
      <c r="A24" s="185"/>
      <c r="B24" s="188"/>
      <c r="C24" s="190"/>
      <c r="D24" s="165">
        <v>1144</v>
      </c>
      <c r="E24" s="192"/>
      <c r="F24" s="150" t="s">
        <v>152</v>
      </c>
      <c r="G24" s="166"/>
      <c r="H24" s="167"/>
      <c r="I24" s="167"/>
      <c r="J24" s="167"/>
      <c r="K24" s="167"/>
      <c r="L24" s="170"/>
      <c r="M24" s="166"/>
      <c r="N24" s="167"/>
      <c r="O24" s="167"/>
      <c r="P24" s="167"/>
      <c r="Q24" s="167"/>
      <c r="R24" s="170"/>
      <c r="S24" s="166"/>
      <c r="T24" s="167"/>
      <c r="U24" s="167"/>
      <c r="V24" s="167"/>
      <c r="W24" s="167"/>
      <c r="X24" s="170"/>
    </row>
    <row r="25" spans="1:24" ht="15" customHeight="1" x14ac:dyDescent="0.25">
      <c r="A25" s="185"/>
      <c r="B25" s="188" t="s">
        <v>150</v>
      </c>
      <c r="C25" s="193"/>
      <c r="D25" s="169">
        <v>125.5</v>
      </c>
      <c r="E25" s="194">
        <v>10</v>
      </c>
      <c r="F25" s="150" t="s">
        <v>151</v>
      </c>
      <c r="G25" s="166">
        <v>24.8</v>
      </c>
      <c r="H25" s="167">
        <v>116.4</v>
      </c>
      <c r="I25" s="167">
        <v>4080</v>
      </c>
      <c r="J25" s="167">
        <v>2967</v>
      </c>
      <c r="K25" s="167">
        <v>5</v>
      </c>
      <c r="L25" s="170">
        <v>0.74</v>
      </c>
      <c r="M25" s="166">
        <v>28.1</v>
      </c>
      <c r="N25" s="167">
        <v>114.9</v>
      </c>
      <c r="O25" s="167">
        <v>4656</v>
      </c>
      <c r="P25" s="167">
        <v>3105</v>
      </c>
      <c r="Q25" s="167">
        <v>5.5</v>
      </c>
      <c r="R25" s="170">
        <v>0.66</v>
      </c>
      <c r="S25" s="166">
        <v>26.19</v>
      </c>
      <c r="T25" s="167">
        <v>115.3</v>
      </c>
      <c r="U25" s="167">
        <v>4308</v>
      </c>
      <c r="V25" s="167">
        <v>2994</v>
      </c>
      <c r="W25" s="167">
        <v>5.2</v>
      </c>
      <c r="X25" s="170">
        <v>0.69</v>
      </c>
    </row>
    <row r="26" spans="1:24" ht="16.5" thickBot="1" x14ac:dyDescent="0.3">
      <c r="A26" s="203"/>
      <c r="B26" s="204"/>
      <c r="C26" s="205"/>
      <c r="D26" s="171">
        <v>1144</v>
      </c>
      <c r="E26" s="206"/>
      <c r="F26" s="155" t="s">
        <v>152</v>
      </c>
      <c r="G26" s="172"/>
      <c r="H26" s="173"/>
      <c r="I26" s="173"/>
      <c r="J26" s="173"/>
      <c r="K26" s="173"/>
      <c r="L26" s="174"/>
      <c r="M26" s="172"/>
      <c r="N26" s="173"/>
      <c r="O26" s="173"/>
      <c r="P26" s="173"/>
      <c r="Q26" s="173"/>
      <c r="R26" s="174"/>
      <c r="S26" s="172"/>
      <c r="T26" s="173"/>
      <c r="U26" s="173"/>
      <c r="V26" s="173"/>
      <c r="W26" s="173"/>
      <c r="X26" s="174"/>
    </row>
    <row r="28" spans="1:24" ht="15.75" x14ac:dyDescent="0.25">
      <c r="B28" s="46" t="s">
        <v>68</v>
      </c>
    </row>
    <row r="31" spans="1:24" ht="18.75" x14ac:dyDescent="0.3">
      <c r="C31" s="34" t="s">
        <v>56</v>
      </c>
    </row>
  </sheetData>
  <mergeCells count="45">
    <mergeCell ref="A13:A18"/>
    <mergeCell ref="B13:B14"/>
    <mergeCell ref="C13:C14"/>
    <mergeCell ref="E13:E14"/>
    <mergeCell ref="B17:B18"/>
    <mergeCell ref="C17:C18"/>
    <mergeCell ref="E17:E18"/>
    <mergeCell ref="B15:B16"/>
    <mergeCell ref="C15:C16"/>
    <mergeCell ref="E15:E16"/>
    <mergeCell ref="D13:D14"/>
    <mergeCell ref="D15:D16"/>
    <mergeCell ref="D17:D18"/>
    <mergeCell ref="A9:A12"/>
    <mergeCell ref="B9:B10"/>
    <mergeCell ref="C9:C10"/>
    <mergeCell ref="E9:E10"/>
    <mergeCell ref="B11:B12"/>
    <mergeCell ref="C11:C12"/>
    <mergeCell ref="E11:E12"/>
    <mergeCell ref="D9:D10"/>
    <mergeCell ref="D11:D12"/>
    <mergeCell ref="A23:A26"/>
    <mergeCell ref="B23:B24"/>
    <mergeCell ref="C23:C24"/>
    <mergeCell ref="E23:E24"/>
    <mergeCell ref="B25:B26"/>
    <mergeCell ref="C25:C26"/>
    <mergeCell ref="E25:E26"/>
    <mergeCell ref="F6:F7"/>
    <mergeCell ref="G6:L6"/>
    <mergeCell ref="M6:R6"/>
    <mergeCell ref="S6:X6"/>
    <mergeCell ref="A19:A22"/>
    <mergeCell ref="B19:B20"/>
    <mergeCell ref="C19:C20"/>
    <mergeCell ref="E19:E20"/>
    <mergeCell ref="B21:B22"/>
    <mergeCell ref="C21:C22"/>
    <mergeCell ref="E21:E22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38"/>
  <sheetViews>
    <sheetView tabSelected="1" view="pageBreakPreview" topLeftCell="D16" zoomScale="85" zoomScaleSheetLayoutView="85" workbookViewId="0">
      <selection activeCell="U31" sqref="U31:V32"/>
    </sheetView>
  </sheetViews>
  <sheetFormatPr defaultRowHeight="15" x14ac:dyDescent="0.25"/>
  <cols>
    <col min="1" max="1" width="13.7109375" style="8" customWidth="1"/>
    <col min="2" max="2" width="13.85546875" style="8" customWidth="1"/>
    <col min="3" max="3" width="10.85546875" style="8" customWidth="1"/>
    <col min="4" max="4" width="12.42578125" style="8" customWidth="1"/>
    <col min="5" max="5" width="14.140625" style="8" customWidth="1"/>
    <col min="6" max="6" width="15.28515625" style="8" customWidth="1"/>
    <col min="7" max="7" width="7" style="8" customWidth="1"/>
    <col min="8" max="9" width="6.85546875" style="8" bestFit="1" customWidth="1"/>
    <col min="10" max="10" width="7" style="8" customWidth="1"/>
    <col min="11" max="11" width="7.5703125" style="8" customWidth="1"/>
    <col min="12" max="12" width="7.42578125" style="8" customWidth="1"/>
    <col min="13" max="13" width="7" style="8" customWidth="1"/>
    <col min="14" max="14" width="6.42578125" style="8" customWidth="1"/>
    <col min="15" max="15" width="6.85546875" style="8" bestFit="1" customWidth="1"/>
    <col min="16" max="16" width="6.42578125" style="8" customWidth="1"/>
    <col min="17" max="17" width="7.28515625" style="8" customWidth="1"/>
    <col min="18" max="19" width="6.7109375" style="8" customWidth="1"/>
    <col min="20" max="20" width="7.28515625" style="8" customWidth="1"/>
    <col min="21" max="28" width="7.42578125" style="8" customWidth="1"/>
    <col min="29" max="29" width="7.5703125" style="8" customWidth="1"/>
    <col min="30" max="30" width="7.140625" style="8" customWidth="1"/>
    <col min="31" max="16384" width="9.140625" style="8"/>
  </cols>
  <sheetData>
    <row r="1" spans="1:41" ht="38.25" customHeight="1" x14ac:dyDescent="0.25">
      <c r="A1" s="232" t="s">
        <v>101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</row>
    <row r="2" spans="1:41" ht="11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17"/>
      <c r="P2" s="11"/>
      <c r="Q2" s="7"/>
      <c r="R2" s="7"/>
    </row>
    <row r="3" spans="1:41" s="26" customFormat="1" ht="28.5" customHeight="1" x14ac:dyDescent="0.3">
      <c r="A3" s="20" t="s">
        <v>231</v>
      </c>
      <c r="B3" s="21"/>
      <c r="C3" s="22"/>
      <c r="D3" s="23"/>
      <c r="E3" s="23"/>
      <c r="F3" s="24"/>
      <c r="G3" s="24"/>
      <c r="H3" s="24"/>
      <c r="I3" s="24"/>
      <c r="J3" s="25"/>
      <c r="K3" s="24"/>
      <c r="L3" s="24"/>
      <c r="M3" s="24"/>
      <c r="N3" s="24"/>
      <c r="O3" s="24"/>
      <c r="P3" s="24"/>
      <c r="Q3" s="24"/>
      <c r="R3" s="20"/>
      <c r="T3" s="25" t="s">
        <v>228</v>
      </c>
    </row>
    <row r="4" spans="1:41" ht="40.5" customHeight="1" thickBot="1" x14ac:dyDescent="0.3">
      <c r="A4" s="19" t="s">
        <v>267</v>
      </c>
      <c r="B4" s="10"/>
      <c r="C4" s="10"/>
      <c r="E4" s="10"/>
      <c r="F4" s="10"/>
      <c r="G4" s="10"/>
      <c r="H4" s="7"/>
      <c r="I4" s="7"/>
      <c r="J4" s="7"/>
      <c r="K4" s="10"/>
      <c r="L4" s="10"/>
      <c r="M4" s="7"/>
      <c r="N4" s="7"/>
      <c r="O4" s="7"/>
      <c r="P4" s="7"/>
      <c r="Q4" s="7"/>
      <c r="R4" s="7"/>
      <c r="T4" s="25" t="s">
        <v>265</v>
      </c>
    </row>
    <row r="5" spans="1:41" ht="48" customHeight="1" thickBot="1" x14ac:dyDescent="0.3">
      <c r="A5" s="233" t="s">
        <v>266</v>
      </c>
      <c r="B5" s="234"/>
      <c r="C5" s="234"/>
      <c r="D5" s="234"/>
      <c r="E5" s="234"/>
      <c r="F5" s="235"/>
      <c r="G5" s="236" t="s">
        <v>88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8"/>
    </row>
    <row r="6" spans="1:41" ht="83.25" customHeight="1" thickBot="1" x14ac:dyDescent="0.3">
      <c r="A6" s="239" t="s">
        <v>76</v>
      </c>
      <c r="B6" s="240"/>
      <c r="C6" s="241" t="s">
        <v>70</v>
      </c>
      <c r="D6" s="242"/>
      <c r="E6" s="47" t="s">
        <v>69</v>
      </c>
      <c r="F6" s="48" t="s">
        <v>100</v>
      </c>
      <c r="G6" s="28" t="s">
        <v>77</v>
      </c>
      <c r="H6" s="29" t="s">
        <v>78</v>
      </c>
      <c r="I6" s="29" t="s">
        <v>71</v>
      </c>
      <c r="J6" s="29" t="s">
        <v>79</v>
      </c>
      <c r="K6" s="30" t="s">
        <v>80</v>
      </c>
      <c r="L6" s="29" t="s">
        <v>81</v>
      </c>
      <c r="M6" s="29" t="s">
        <v>82</v>
      </c>
      <c r="N6" s="29" t="s">
        <v>83</v>
      </c>
      <c r="O6" s="29" t="s">
        <v>72</v>
      </c>
      <c r="P6" s="29" t="s">
        <v>84</v>
      </c>
      <c r="Q6" s="29" t="s">
        <v>85</v>
      </c>
      <c r="R6" s="29" t="s">
        <v>86</v>
      </c>
      <c r="S6" s="29" t="s">
        <v>87</v>
      </c>
      <c r="T6" s="29" t="s">
        <v>89</v>
      </c>
      <c r="U6" s="29" t="s">
        <v>90</v>
      </c>
      <c r="V6" s="29" t="s">
        <v>91</v>
      </c>
      <c r="W6" s="29" t="s">
        <v>92</v>
      </c>
      <c r="X6" s="29" t="s">
        <v>73</v>
      </c>
      <c r="Y6" s="29" t="s">
        <v>93</v>
      </c>
      <c r="Z6" s="29" t="s">
        <v>94</v>
      </c>
      <c r="AA6" s="29" t="s">
        <v>95</v>
      </c>
      <c r="AB6" s="29" t="s">
        <v>96</v>
      </c>
      <c r="AC6" s="29" t="s">
        <v>97</v>
      </c>
      <c r="AD6" s="31" t="s">
        <v>98</v>
      </c>
    </row>
    <row r="7" spans="1:41" ht="16.5" customHeight="1" thickBot="1" x14ac:dyDescent="0.3">
      <c r="A7" s="243" t="s">
        <v>129</v>
      </c>
      <c r="B7" s="244"/>
      <c r="C7" s="245" t="s">
        <v>240</v>
      </c>
      <c r="D7" s="246"/>
      <c r="E7" s="129" t="s">
        <v>241</v>
      </c>
      <c r="F7" s="130">
        <v>5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1">
        <v>0</v>
      </c>
      <c r="Y7" s="131">
        <v>0</v>
      </c>
      <c r="Z7" s="131">
        <v>0</v>
      </c>
      <c r="AA7" s="131">
        <v>0</v>
      </c>
      <c r="AB7" s="131">
        <v>0</v>
      </c>
      <c r="AC7" s="131">
        <v>0</v>
      </c>
      <c r="AD7" s="131">
        <v>0</v>
      </c>
    </row>
    <row r="8" spans="1:41" ht="18" customHeight="1" thickBot="1" x14ac:dyDescent="0.3">
      <c r="A8" s="243" t="s">
        <v>242</v>
      </c>
      <c r="B8" s="244"/>
      <c r="C8" s="255" t="s">
        <v>139</v>
      </c>
      <c r="D8" s="256"/>
      <c r="E8" s="129" t="s">
        <v>241</v>
      </c>
      <c r="F8" s="130">
        <v>20</v>
      </c>
      <c r="G8" s="131">
        <v>5.0999999999999997E-2</v>
      </c>
      <c r="H8" s="131">
        <v>5.8000000000000003E-2</v>
      </c>
      <c r="I8" s="131">
        <v>0.06</v>
      </c>
      <c r="J8" s="131">
        <v>0.05</v>
      </c>
      <c r="K8" s="131">
        <v>5.0999999999999997E-2</v>
      </c>
      <c r="L8" s="131">
        <v>5.0999999999999997E-2</v>
      </c>
      <c r="M8" s="131">
        <v>5.2999999999999999E-2</v>
      </c>
      <c r="N8" s="131">
        <v>6.3E-2</v>
      </c>
      <c r="O8" s="131">
        <v>5.2999999999999999E-2</v>
      </c>
      <c r="P8" s="131">
        <v>5.0999999999999997E-2</v>
      </c>
      <c r="Q8" s="131">
        <v>5.1999999999999998E-2</v>
      </c>
      <c r="R8" s="131">
        <v>5.1999999999999998E-2</v>
      </c>
      <c r="S8" s="131">
        <v>5.1999999999999998E-2</v>
      </c>
      <c r="T8" s="131">
        <v>5.2999999999999999E-2</v>
      </c>
      <c r="U8" s="131">
        <v>5.1999999999999998E-2</v>
      </c>
      <c r="V8" s="131">
        <v>5.1999999999999998E-2</v>
      </c>
      <c r="W8" s="131">
        <v>5.2999999999999999E-2</v>
      </c>
      <c r="X8" s="131">
        <v>5.2999999999999999E-2</v>
      </c>
      <c r="Y8" s="131">
        <v>5.1999999999999998E-2</v>
      </c>
      <c r="Z8" s="131">
        <v>0.05</v>
      </c>
      <c r="AA8" s="131">
        <v>5.1999999999999998E-2</v>
      </c>
      <c r="AB8" s="131">
        <v>5.1999999999999998E-2</v>
      </c>
      <c r="AC8" s="131">
        <v>5.1999999999999998E-2</v>
      </c>
      <c r="AD8" s="131">
        <v>5.0999999999999997E-2</v>
      </c>
    </row>
    <row r="9" spans="1:41" ht="18" customHeight="1" thickBot="1" x14ac:dyDescent="0.3">
      <c r="A9" s="243" t="s">
        <v>242</v>
      </c>
      <c r="B9" s="244"/>
      <c r="C9" s="262" t="s">
        <v>243</v>
      </c>
      <c r="D9" s="263"/>
      <c r="E9" s="129" t="s">
        <v>241</v>
      </c>
      <c r="F9" s="130">
        <v>20</v>
      </c>
      <c r="G9" s="131">
        <v>5.0000000000000001E-3</v>
      </c>
      <c r="H9" s="131">
        <v>5.0000000000000001E-3</v>
      </c>
      <c r="I9" s="131">
        <v>5.0000000000000001E-3</v>
      </c>
      <c r="J9" s="131">
        <v>5.0000000000000001E-3</v>
      </c>
      <c r="K9" s="131">
        <v>5.0000000000000001E-3</v>
      </c>
      <c r="L9" s="131">
        <v>5.0000000000000001E-3</v>
      </c>
      <c r="M9" s="131">
        <v>4.0000000000000001E-3</v>
      </c>
      <c r="N9" s="131">
        <v>5.0000000000000001E-3</v>
      </c>
      <c r="O9" s="131">
        <v>4.0000000000000001E-3</v>
      </c>
      <c r="P9" s="131">
        <v>4.0000000000000001E-3</v>
      </c>
      <c r="Q9" s="131">
        <v>4.0000000000000001E-3</v>
      </c>
      <c r="R9" s="131">
        <v>4.0000000000000001E-3</v>
      </c>
      <c r="S9" s="131">
        <v>4.0000000000000001E-3</v>
      </c>
      <c r="T9" s="131">
        <v>4.0000000000000001E-3</v>
      </c>
      <c r="U9" s="131">
        <v>4.0000000000000001E-3</v>
      </c>
      <c r="V9" s="131">
        <v>5.0000000000000001E-3</v>
      </c>
      <c r="W9" s="131">
        <v>4.0000000000000001E-3</v>
      </c>
      <c r="X9" s="131">
        <v>4.0000000000000001E-3</v>
      </c>
      <c r="Y9" s="131">
        <v>4.0000000000000001E-3</v>
      </c>
      <c r="Z9" s="131">
        <v>4.0000000000000001E-3</v>
      </c>
      <c r="AA9" s="131">
        <v>5.0000000000000001E-3</v>
      </c>
      <c r="AB9" s="131">
        <v>5.0000000000000001E-3</v>
      </c>
      <c r="AC9" s="131">
        <v>5.0000000000000001E-3</v>
      </c>
      <c r="AD9" s="131">
        <v>5.0000000000000001E-3</v>
      </c>
    </row>
    <row r="10" spans="1:41" ht="18" customHeight="1" thickBot="1" x14ac:dyDescent="0.3">
      <c r="A10" s="243" t="s">
        <v>244</v>
      </c>
      <c r="B10" s="244"/>
      <c r="C10" s="255" t="s">
        <v>245</v>
      </c>
      <c r="D10" s="256"/>
      <c r="E10" s="129" t="s">
        <v>241</v>
      </c>
      <c r="F10" s="130">
        <v>20</v>
      </c>
      <c r="G10" s="131">
        <v>0.39760000000000001</v>
      </c>
      <c r="H10" s="131">
        <v>0.39600000000000002</v>
      </c>
      <c r="I10" s="131">
        <v>0.39200000000000002</v>
      </c>
      <c r="J10" s="131">
        <v>0.39400000000000002</v>
      </c>
      <c r="K10" s="131">
        <v>0.39700000000000002</v>
      </c>
      <c r="L10" s="131">
        <v>0.39</v>
      </c>
      <c r="M10" s="131">
        <v>0.39300000000000002</v>
      </c>
      <c r="N10" s="131">
        <v>0.39700000000000002</v>
      </c>
      <c r="O10" s="131">
        <v>0.38400000000000001</v>
      </c>
      <c r="P10" s="131">
        <v>0.376</v>
      </c>
      <c r="Q10" s="131">
        <v>0.39900000000000002</v>
      </c>
      <c r="R10" s="131">
        <v>0.40799999999999997</v>
      </c>
      <c r="S10" s="131">
        <v>0.40699999999999997</v>
      </c>
      <c r="T10" s="131">
        <v>0.40300000000000002</v>
      </c>
      <c r="U10" s="131">
        <v>0.40200000000000002</v>
      </c>
      <c r="V10" s="131">
        <v>0.40300000000000002</v>
      </c>
      <c r="W10" s="131">
        <v>0.39900000000000002</v>
      </c>
      <c r="X10" s="131">
        <v>0.39600000000000002</v>
      </c>
      <c r="Y10" s="131">
        <v>0.38500000000000001</v>
      </c>
      <c r="Z10" s="131">
        <v>0.372</v>
      </c>
      <c r="AA10" s="131">
        <v>0.376</v>
      </c>
      <c r="AB10" s="131">
        <v>0.36899999999999999</v>
      </c>
      <c r="AC10" s="131">
        <v>0.372</v>
      </c>
      <c r="AD10" s="131">
        <v>0.36099999999999999</v>
      </c>
    </row>
    <row r="11" spans="1:41" ht="18" customHeight="1" thickBot="1" x14ac:dyDescent="0.3">
      <c r="A11" s="243" t="s">
        <v>244</v>
      </c>
      <c r="B11" s="244"/>
      <c r="C11" s="262" t="s">
        <v>246</v>
      </c>
      <c r="D11" s="263"/>
      <c r="E11" s="129" t="s">
        <v>241</v>
      </c>
      <c r="F11" s="130">
        <v>20</v>
      </c>
      <c r="G11" s="131">
        <v>2.7E-2</v>
      </c>
      <c r="H11" s="131">
        <v>2.7E-2</v>
      </c>
      <c r="I11" s="131">
        <v>2.8000000000000001E-2</v>
      </c>
      <c r="J11" s="131">
        <v>2.8000000000000001E-2</v>
      </c>
      <c r="K11" s="131">
        <v>2.8000000000000001E-2</v>
      </c>
      <c r="L11" s="131">
        <v>2.9000000000000001E-2</v>
      </c>
      <c r="M11" s="131">
        <v>2.8000000000000001E-2</v>
      </c>
      <c r="N11" s="131">
        <v>2.8000000000000001E-2</v>
      </c>
      <c r="O11" s="131">
        <v>2.9000000000000001E-2</v>
      </c>
      <c r="P11" s="131">
        <v>3.1E-2</v>
      </c>
      <c r="Q11" s="131">
        <v>0.03</v>
      </c>
      <c r="R11" s="131">
        <v>3.1E-2</v>
      </c>
      <c r="S11" s="131">
        <v>2.9000000000000001E-2</v>
      </c>
      <c r="T11" s="131">
        <v>2.9000000000000001E-2</v>
      </c>
      <c r="U11" s="131">
        <v>2.9000000000000001E-2</v>
      </c>
      <c r="V11" s="131">
        <v>2.9000000000000001E-2</v>
      </c>
      <c r="W11" s="131">
        <v>0.03</v>
      </c>
      <c r="X11" s="131">
        <v>2.9000000000000001E-2</v>
      </c>
      <c r="Y11" s="131">
        <v>2.9000000000000001E-2</v>
      </c>
      <c r="Z11" s="131">
        <v>2.8000000000000001E-2</v>
      </c>
      <c r="AA11" s="131">
        <v>2.7E-2</v>
      </c>
      <c r="AB11" s="131">
        <v>2.8000000000000001E-2</v>
      </c>
      <c r="AC11" s="131">
        <v>2.8000000000000001E-2</v>
      </c>
      <c r="AD11" s="131">
        <v>2.7E-2</v>
      </c>
    </row>
    <row r="12" spans="1:41" ht="18" customHeight="1" thickBot="1" x14ac:dyDescent="0.3">
      <c r="A12" s="243" t="s">
        <v>255</v>
      </c>
      <c r="B12" s="244"/>
      <c r="C12" s="255" t="s">
        <v>256</v>
      </c>
      <c r="D12" s="256"/>
      <c r="E12" s="129" t="s">
        <v>241</v>
      </c>
      <c r="F12" s="130">
        <v>20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0</v>
      </c>
      <c r="AC12" s="131">
        <v>0</v>
      </c>
      <c r="AD12" s="131">
        <v>0</v>
      </c>
    </row>
    <row r="13" spans="1:41" ht="48" customHeight="1" thickBot="1" x14ac:dyDescent="0.3">
      <c r="A13" s="260" t="s">
        <v>257</v>
      </c>
      <c r="B13" s="261"/>
      <c r="C13" s="260" t="s">
        <v>258</v>
      </c>
      <c r="D13" s="261"/>
      <c r="E13" s="129" t="s">
        <v>241</v>
      </c>
      <c r="F13" s="130">
        <v>20</v>
      </c>
      <c r="G13" s="131">
        <v>0.154</v>
      </c>
      <c r="H13" s="131">
        <v>0.14899999999999999</v>
      </c>
      <c r="I13" s="131">
        <v>0.14899999999999999</v>
      </c>
      <c r="J13" s="131">
        <v>0.189</v>
      </c>
      <c r="K13" s="131">
        <v>0.14899999999999999</v>
      </c>
      <c r="L13" s="131">
        <v>0.17199999999999999</v>
      </c>
      <c r="M13" s="131">
        <v>0.14699999999999999</v>
      </c>
      <c r="N13" s="131">
        <v>0.187</v>
      </c>
      <c r="O13" s="131">
        <v>0.156</v>
      </c>
      <c r="P13" s="131">
        <v>0.17799999999999999</v>
      </c>
      <c r="Q13" s="131">
        <v>0.17699999999999999</v>
      </c>
      <c r="R13" s="131">
        <v>0.20300000000000001</v>
      </c>
      <c r="S13" s="131">
        <v>0.19</v>
      </c>
      <c r="T13" s="131">
        <v>0.16500000000000001</v>
      </c>
      <c r="U13" s="131">
        <v>0.17699999999999999</v>
      </c>
      <c r="V13" s="131">
        <v>0.16800000000000001</v>
      </c>
      <c r="W13" s="131">
        <v>0.193</v>
      </c>
      <c r="X13" s="131">
        <v>0.17199999999999999</v>
      </c>
      <c r="Y13" s="131">
        <v>0.17399999999999999</v>
      </c>
      <c r="Z13" s="131">
        <v>0.16</v>
      </c>
      <c r="AA13" s="131">
        <v>0.17799999999999999</v>
      </c>
      <c r="AB13" s="131">
        <v>0.17699999999999999</v>
      </c>
      <c r="AC13" s="131">
        <v>0.192</v>
      </c>
      <c r="AD13" s="131">
        <v>0.153</v>
      </c>
    </row>
    <row r="14" spans="1:41" ht="58.5" customHeight="1" thickBot="1" x14ac:dyDescent="0.3">
      <c r="A14" s="32" t="s">
        <v>263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  <c r="R14" s="7"/>
    </row>
    <row r="15" spans="1:41" ht="23.25" customHeight="1" thickBot="1" x14ac:dyDescent="0.3">
      <c r="A15" s="247" t="s">
        <v>103</v>
      </c>
      <c r="B15" s="248"/>
      <c r="C15" s="249" t="s">
        <v>46</v>
      </c>
      <c r="D15" s="250"/>
      <c r="E15" s="250"/>
      <c r="F15" s="250"/>
      <c r="G15" s="250"/>
      <c r="H15" s="250"/>
      <c r="I15" s="250"/>
      <c r="J15" s="250"/>
      <c r="K15" s="252" t="s">
        <v>47</v>
      </c>
      <c r="L15" s="250"/>
      <c r="M15" s="250"/>
      <c r="N15" s="250"/>
      <c r="O15" s="250"/>
      <c r="P15" s="250"/>
      <c r="Q15" s="233" t="s">
        <v>58</v>
      </c>
      <c r="R15" s="253"/>
      <c r="S15" s="253"/>
      <c r="T15" s="253"/>
      <c r="U15" s="253"/>
      <c r="V15" s="254"/>
      <c r="W15" s="90"/>
      <c r="X15" s="91"/>
      <c r="AA15" s="43"/>
      <c r="AB15" s="92"/>
      <c r="AC15" s="92"/>
      <c r="AD15" s="222"/>
      <c r="AE15" s="223"/>
      <c r="AF15" s="223"/>
      <c r="AG15" s="223"/>
      <c r="AH15" s="223"/>
      <c r="AI15" s="223"/>
      <c r="AJ15" s="224"/>
      <c r="AK15" s="225"/>
      <c r="AL15" s="225"/>
      <c r="AM15" s="225"/>
      <c r="AN15" s="225"/>
      <c r="AO15" s="225"/>
    </row>
    <row r="16" spans="1:41" ht="24.75" customHeight="1" thickBot="1" x14ac:dyDescent="0.3">
      <c r="A16" s="49" t="s">
        <v>104</v>
      </c>
      <c r="B16" s="50" t="s">
        <v>105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20" t="s">
        <v>71</v>
      </c>
      <c r="R16" s="221"/>
      <c r="S16" s="220" t="s">
        <v>72</v>
      </c>
      <c r="T16" s="221"/>
      <c r="U16" s="220" t="s">
        <v>73</v>
      </c>
      <c r="V16" s="221"/>
      <c r="W16" s="44"/>
      <c r="X16" s="93"/>
      <c r="AA16" s="92"/>
      <c r="AB16" s="92"/>
      <c r="AC16" s="92"/>
      <c r="AD16" s="223"/>
      <c r="AE16" s="223"/>
      <c r="AF16" s="223"/>
      <c r="AG16" s="223"/>
      <c r="AH16" s="223"/>
      <c r="AI16" s="223"/>
      <c r="AJ16" s="218"/>
      <c r="AK16" s="219"/>
      <c r="AL16" s="218"/>
      <c r="AM16" s="219"/>
      <c r="AN16" s="218"/>
      <c r="AO16" s="219"/>
    </row>
    <row r="17" spans="1:41" ht="15.75" x14ac:dyDescent="0.25">
      <c r="A17" s="132">
        <v>47.5</v>
      </c>
      <c r="B17" s="133">
        <v>0.5</v>
      </c>
      <c r="C17" s="226" t="s">
        <v>129</v>
      </c>
      <c r="D17" s="227"/>
      <c r="E17" s="227"/>
      <c r="F17" s="227"/>
      <c r="G17" s="227"/>
      <c r="H17" s="227"/>
      <c r="I17" s="227"/>
      <c r="J17" s="228"/>
      <c r="K17" s="226" t="s">
        <v>128</v>
      </c>
      <c r="L17" s="227"/>
      <c r="M17" s="227"/>
      <c r="N17" s="227"/>
      <c r="O17" s="227"/>
      <c r="P17" s="228"/>
      <c r="Q17" s="207">
        <v>0</v>
      </c>
      <c r="R17" s="208"/>
      <c r="S17" s="207">
        <v>0</v>
      </c>
      <c r="T17" s="208"/>
      <c r="U17" s="207">
        <v>0</v>
      </c>
      <c r="V17" s="208"/>
      <c r="W17" s="45"/>
      <c r="X17" s="84"/>
      <c r="AA17" s="33"/>
      <c r="AB17" s="33"/>
      <c r="AC17" s="33"/>
      <c r="AD17" s="27"/>
      <c r="AE17" s="84"/>
      <c r="AF17" s="84"/>
      <c r="AG17" s="84"/>
      <c r="AH17" s="84"/>
      <c r="AI17" s="84"/>
      <c r="AJ17" s="217"/>
      <c r="AK17" s="217"/>
      <c r="AL17" s="217"/>
      <c r="AM17" s="217"/>
      <c r="AN17" s="217"/>
      <c r="AO17" s="217"/>
    </row>
    <row r="18" spans="1:41" ht="16.5" thickBot="1" x14ac:dyDescent="0.3">
      <c r="A18" s="134">
        <v>0</v>
      </c>
      <c r="B18" s="135">
        <v>0</v>
      </c>
      <c r="C18" s="229"/>
      <c r="D18" s="230"/>
      <c r="E18" s="230"/>
      <c r="F18" s="230"/>
      <c r="G18" s="230"/>
      <c r="H18" s="230"/>
      <c r="I18" s="230"/>
      <c r="J18" s="231"/>
      <c r="K18" s="229"/>
      <c r="L18" s="230"/>
      <c r="M18" s="230"/>
      <c r="N18" s="230"/>
      <c r="O18" s="230"/>
      <c r="P18" s="231"/>
      <c r="Q18" s="211"/>
      <c r="R18" s="212"/>
      <c r="S18" s="211"/>
      <c r="T18" s="212"/>
      <c r="U18" s="211"/>
      <c r="V18" s="212"/>
      <c r="W18" s="45"/>
      <c r="X18" s="84"/>
      <c r="AA18" s="33"/>
      <c r="AB18" s="33"/>
      <c r="AC18" s="33"/>
      <c r="AD18" s="27"/>
      <c r="AE18" s="84"/>
      <c r="AF18" s="84"/>
      <c r="AG18" s="84"/>
      <c r="AH18" s="84"/>
      <c r="AI18" s="84"/>
      <c r="AJ18" s="217"/>
      <c r="AK18" s="217"/>
      <c r="AL18" s="217"/>
      <c r="AM18" s="217"/>
      <c r="AN18" s="217"/>
      <c r="AO18" s="217"/>
    </row>
    <row r="19" spans="1:41" ht="15.75" x14ac:dyDescent="0.25">
      <c r="A19" s="132">
        <v>0</v>
      </c>
      <c r="B19" s="133">
        <v>0</v>
      </c>
      <c r="C19" s="226" t="s">
        <v>129</v>
      </c>
      <c r="D19" s="227"/>
      <c r="E19" s="227"/>
      <c r="F19" s="227"/>
      <c r="G19" s="227"/>
      <c r="H19" s="227"/>
      <c r="I19" s="227"/>
      <c r="J19" s="228"/>
      <c r="K19" s="226" t="s">
        <v>130</v>
      </c>
      <c r="L19" s="227"/>
      <c r="M19" s="227"/>
      <c r="N19" s="227"/>
      <c r="O19" s="227"/>
      <c r="P19" s="228"/>
      <c r="Q19" s="207">
        <v>0.16439640522003174</v>
      </c>
      <c r="R19" s="208"/>
      <c r="S19" s="207">
        <v>0.26385068893432617</v>
      </c>
      <c r="T19" s="208"/>
      <c r="U19" s="207">
        <v>0.20299060642719269</v>
      </c>
      <c r="V19" s="208"/>
      <c r="W19" s="45"/>
      <c r="X19" s="84"/>
      <c r="AA19" s="33"/>
      <c r="AB19" s="33"/>
      <c r="AC19" s="33"/>
      <c r="AD19" s="27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</row>
    <row r="20" spans="1:41" ht="16.5" thickBot="1" x14ac:dyDescent="0.3">
      <c r="A20" s="134">
        <v>49.1</v>
      </c>
      <c r="B20" s="135">
        <v>20</v>
      </c>
      <c r="C20" s="229"/>
      <c r="D20" s="230"/>
      <c r="E20" s="230"/>
      <c r="F20" s="230"/>
      <c r="G20" s="230"/>
      <c r="H20" s="230"/>
      <c r="I20" s="230"/>
      <c r="J20" s="231"/>
      <c r="K20" s="229"/>
      <c r="L20" s="230"/>
      <c r="M20" s="230"/>
      <c r="N20" s="230"/>
      <c r="O20" s="230"/>
      <c r="P20" s="231"/>
      <c r="Q20" s="211"/>
      <c r="R20" s="212"/>
      <c r="S20" s="211"/>
      <c r="T20" s="212"/>
      <c r="U20" s="211"/>
      <c r="V20" s="212"/>
      <c r="W20" s="45"/>
      <c r="X20" s="84"/>
      <c r="AA20" s="33"/>
      <c r="AB20" s="33"/>
      <c r="AC20" s="33"/>
      <c r="AD20" s="27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</row>
    <row r="21" spans="1:41" ht="15.75" x14ac:dyDescent="0.25">
      <c r="A21" s="132">
        <v>49.2</v>
      </c>
      <c r="B21" s="133">
        <v>0.5</v>
      </c>
      <c r="C21" s="226" t="s">
        <v>143</v>
      </c>
      <c r="D21" s="227"/>
      <c r="E21" s="227"/>
      <c r="F21" s="227"/>
      <c r="G21" s="227"/>
      <c r="H21" s="227"/>
      <c r="I21" s="227"/>
      <c r="J21" s="228"/>
      <c r="K21" s="226" t="s">
        <v>131</v>
      </c>
      <c r="L21" s="227"/>
      <c r="M21" s="227"/>
      <c r="N21" s="227"/>
      <c r="O21" s="227"/>
      <c r="P21" s="228"/>
      <c r="Q21" s="207">
        <v>0</v>
      </c>
      <c r="R21" s="208"/>
      <c r="S21" s="207">
        <v>0</v>
      </c>
      <c r="T21" s="208"/>
      <c r="U21" s="207">
        <v>0</v>
      </c>
      <c r="V21" s="208"/>
      <c r="W21" s="45"/>
      <c r="X21" s="84"/>
      <c r="AA21" s="33"/>
      <c r="AB21" s="33"/>
      <c r="AC21" s="33"/>
      <c r="AD21" s="27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</row>
    <row r="22" spans="1:41" ht="16.5" thickBot="1" x14ac:dyDescent="0.3">
      <c r="A22" s="134">
        <v>0</v>
      </c>
      <c r="B22" s="135">
        <v>0</v>
      </c>
      <c r="C22" s="229"/>
      <c r="D22" s="230"/>
      <c r="E22" s="230"/>
      <c r="F22" s="230"/>
      <c r="G22" s="230"/>
      <c r="H22" s="230"/>
      <c r="I22" s="230"/>
      <c r="J22" s="231"/>
      <c r="K22" s="229"/>
      <c r="L22" s="230"/>
      <c r="M22" s="230"/>
      <c r="N22" s="230"/>
      <c r="O22" s="230"/>
      <c r="P22" s="231"/>
      <c r="Q22" s="211"/>
      <c r="R22" s="212"/>
      <c r="S22" s="211"/>
      <c r="T22" s="212"/>
      <c r="U22" s="211"/>
      <c r="V22" s="212"/>
      <c r="W22" s="45"/>
      <c r="X22" s="84"/>
      <c r="AA22" s="33"/>
      <c r="AB22" s="33"/>
      <c r="AC22" s="33"/>
      <c r="AD22" s="27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</row>
    <row r="23" spans="1:41" ht="15.75" x14ac:dyDescent="0.25">
      <c r="A23" s="132">
        <v>47.5</v>
      </c>
      <c r="B23" s="133">
        <v>0.5</v>
      </c>
      <c r="C23" s="226" t="s">
        <v>144</v>
      </c>
      <c r="D23" s="227"/>
      <c r="E23" s="227"/>
      <c r="F23" s="227"/>
      <c r="G23" s="227"/>
      <c r="H23" s="227"/>
      <c r="I23" s="227"/>
      <c r="J23" s="228"/>
      <c r="K23" s="226" t="s">
        <v>132</v>
      </c>
      <c r="L23" s="227"/>
      <c r="M23" s="227"/>
      <c r="N23" s="227"/>
      <c r="O23" s="227"/>
      <c r="P23" s="228"/>
      <c r="Q23" s="207">
        <v>0</v>
      </c>
      <c r="R23" s="208"/>
      <c r="S23" s="207">
        <v>0</v>
      </c>
      <c r="T23" s="208"/>
      <c r="U23" s="207">
        <v>0</v>
      </c>
      <c r="V23" s="208"/>
      <c r="W23" s="45"/>
      <c r="X23" s="84"/>
      <c r="AA23" s="33"/>
      <c r="AB23" s="33"/>
      <c r="AC23" s="33"/>
      <c r="AD23" s="27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</row>
    <row r="24" spans="1:41" ht="16.5" thickBot="1" x14ac:dyDescent="0.3">
      <c r="A24" s="134">
        <v>48.9</v>
      </c>
      <c r="B24" s="135">
        <v>35</v>
      </c>
      <c r="C24" s="229"/>
      <c r="D24" s="230"/>
      <c r="E24" s="230"/>
      <c r="F24" s="230"/>
      <c r="G24" s="230"/>
      <c r="H24" s="230"/>
      <c r="I24" s="230"/>
      <c r="J24" s="231"/>
      <c r="K24" s="229"/>
      <c r="L24" s="230"/>
      <c r="M24" s="230"/>
      <c r="N24" s="230"/>
      <c r="O24" s="230"/>
      <c r="P24" s="231"/>
      <c r="Q24" s="211"/>
      <c r="R24" s="212"/>
      <c r="S24" s="211"/>
      <c r="T24" s="212"/>
      <c r="U24" s="211"/>
      <c r="V24" s="212"/>
      <c r="W24" s="45"/>
      <c r="X24" s="84"/>
      <c r="AA24" s="33"/>
      <c r="AB24" s="33"/>
      <c r="AC24" s="33"/>
      <c r="AD24" s="27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</row>
    <row r="25" spans="1:41" ht="15.75" x14ac:dyDescent="0.25">
      <c r="A25" s="132">
        <v>47.5</v>
      </c>
      <c r="B25" s="133">
        <v>0.5</v>
      </c>
      <c r="C25" s="226" t="s">
        <v>145</v>
      </c>
      <c r="D25" s="227"/>
      <c r="E25" s="227"/>
      <c r="F25" s="227"/>
      <c r="G25" s="227"/>
      <c r="H25" s="227"/>
      <c r="I25" s="227"/>
      <c r="J25" s="228"/>
      <c r="K25" s="226" t="s">
        <v>133</v>
      </c>
      <c r="L25" s="227"/>
      <c r="M25" s="227"/>
      <c r="N25" s="227"/>
      <c r="O25" s="227"/>
      <c r="P25" s="228"/>
      <c r="Q25" s="207">
        <v>0</v>
      </c>
      <c r="R25" s="208"/>
      <c r="S25" s="207">
        <v>0</v>
      </c>
      <c r="T25" s="208"/>
      <c r="U25" s="207">
        <v>0</v>
      </c>
      <c r="V25" s="208"/>
      <c r="W25" s="45"/>
      <c r="X25" s="84"/>
      <c r="AA25" s="33"/>
      <c r="AB25" s="33"/>
      <c r="AC25" s="33"/>
      <c r="AD25" s="27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</row>
    <row r="26" spans="1:41" ht="16.5" thickBot="1" x14ac:dyDescent="0.3">
      <c r="A26" s="134">
        <v>48.9</v>
      </c>
      <c r="B26" s="135">
        <v>35</v>
      </c>
      <c r="C26" s="229"/>
      <c r="D26" s="230"/>
      <c r="E26" s="230"/>
      <c r="F26" s="230"/>
      <c r="G26" s="230"/>
      <c r="H26" s="230"/>
      <c r="I26" s="230"/>
      <c r="J26" s="231"/>
      <c r="K26" s="229"/>
      <c r="L26" s="230"/>
      <c r="M26" s="230"/>
      <c r="N26" s="230"/>
      <c r="O26" s="230"/>
      <c r="P26" s="231"/>
      <c r="Q26" s="211"/>
      <c r="R26" s="212"/>
      <c r="S26" s="211"/>
      <c r="T26" s="212"/>
      <c r="U26" s="211"/>
      <c r="V26" s="212"/>
      <c r="W26" s="45"/>
      <c r="X26" s="84"/>
      <c r="AA26" s="33"/>
      <c r="AB26" s="33"/>
      <c r="AC26" s="33"/>
      <c r="AD26" s="27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</row>
    <row r="27" spans="1:41" ht="15.75" x14ac:dyDescent="0.25">
      <c r="A27" s="132">
        <v>46.7</v>
      </c>
      <c r="B27" s="133">
        <v>0.3</v>
      </c>
      <c r="C27" s="226" t="s">
        <v>134</v>
      </c>
      <c r="D27" s="227"/>
      <c r="E27" s="227"/>
      <c r="F27" s="227"/>
      <c r="G27" s="227"/>
      <c r="H27" s="227"/>
      <c r="I27" s="227"/>
      <c r="J27" s="228"/>
      <c r="K27" s="226" t="s">
        <v>135</v>
      </c>
      <c r="L27" s="227"/>
      <c r="M27" s="227"/>
      <c r="N27" s="227"/>
      <c r="O27" s="227"/>
      <c r="P27" s="228"/>
      <c r="Q27" s="213">
        <v>4.0831999999999997</v>
      </c>
      <c r="R27" s="214"/>
      <c r="S27" s="213">
        <v>4.4088000000000003</v>
      </c>
      <c r="T27" s="214"/>
      <c r="U27" s="213">
        <v>4.3296000000000001</v>
      </c>
      <c r="V27" s="214"/>
      <c r="W27" s="45"/>
      <c r="X27" s="84"/>
      <c r="AA27" s="33"/>
      <c r="AB27" s="33"/>
      <c r="AC27" s="33"/>
      <c r="AD27" s="27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1" ht="16.5" thickBot="1" x14ac:dyDescent="0.3">
      <c r="A28" s="134">
        <v>48.7</v>
      </c>
      <c r="B28" s="135">
        <v>60</v>
      </c>
      <c r="C28" s="229"/>
      <c r="D28" s="230"/>
      <c r="E28" s="230"/>
      <c r="F28" s="230"/>
      <c r="G28" s="230"/>
      <c r="H28" s="230"/>
      <c r="I28" s="230"/>
      <c r="J28" s="231"/>
      <c r="K28" s="229"/>
      <c r="L28" s="230"/>
      <c r="M28" s="230"/>
      <c r="N28" s="230"/>
      <c r="O28" s="230"/>
      <c r="P28" s="231"/>
      <c r="Q28" s="215"/>
      <c r="R28" s="216"/>
      <c r="S28" s="215"/>
      <c r="T28" s="216"/>
      <c r="U28" s="215"/>
      <c r="V28" s="216"/>
      <c r="W28" s="45"/>
      <c r="X28" s="84"/>
      <c r="AA28" s="33"/>
      <c r="AB28" s="33"/>
      <c r="AC28" s="33"/>
      <c r="AD28" s="27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1" ht="15.75" x14ac:dyDescent="0.25">
      <c r="A29" s="132">
        <v>47.2</v>
      </c>
      <c r="B29" s="133">
        <v>0.5</v>
      </c>
      <c r="C29" s="226" t="s">
        <v>136</v>
      </c>
      <c r="D29" s="227"/>
      <c r="E29" s="227"/>
      <c r="F29" s="227"/>
      <c r="G29" s="227"/>
      <c r="H29" s="227"/>
      <c r="I29" s="227"/>
      <c r="J29" s="228"/>
      <c r="K29" s="226" t="s">
        <v>137</v>
      </c>
      <c r="L29" s="227"/>
      <c r="M29" s="227"/>
      <c r="N29" s="227"/>
      <c r="O29" s="227"/>
      <c r="P29" s="228"/>
      <c r="Q29" s="207">
        <v>4.3120000000000003</v>
      </c>
      <c r="R29" s="208"/>
      <c r="S29" s="207">
        <v>4.9279999999999999</v>
      </c>
      <c r="T29" s="208"/>
      <c r="U29" s="207">
        <v>4.6639999999999997</v>
      </c>
      <c r="V29" s="208"/>
      <c r="W29" s="45"/>
      <c r="X29" s="84"/>
      <c r="AA29" s="33"/>
      <c r="AB29" s="33"/>
      <c r="AC29" s="33"/>
      <c r="AD29" s="27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1" ht="16.5" thickBot="1" x14ac:dyDescent="0.3">
      <c r="A30" s="134">
        <v>0</v>
      </c>
      <c r="B30" s="135">
        <v>0</v>
      </c>
      <c r="C30" s="229"/>
      <c r="D30" s="230"/>
      <c r="E30" s="230"/>
      <c r="F30" s="230"/>
      <c r="G30" s="230"/>
      <c r="H30" s="230"/>
      <c r="I30" s="230"/>
      <c r="J30" s="231"/>
      <c r="K30" s="229"/>
      <c r="L30" s="230"/>
      <c r="M30" s="230"/>
      <c r="N30" s="230"/>
      <c r="O30" s="230"/>
      <c r="P30" s="231"/>
      <c r="Q30" s="211"/>
      <c r="R30" s="212"/>
      <c r="S30" s="211"/>
      <c r="T30" s="212"/>
      <c r="U30" s="211"/>
      <c r="V30" s="212"/>
      <c r="W30" s="45"/>
      <c r="X30" s="84"/>
      <c r="AA30" s="33"/>
      <c r="AB30" s="33"/>
      <c r="AC30" s="33"/>
      <c r="AD30" s="27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</row>
    <row r="31" spans="1:41" ht="15.75" x14ac:dyDescent="0.25">
      <c r="A31" s="132">
        <v>46.7</v>
      </c>
      <c r="B31" s="133">
        <v>0.3</v>
      </c>
      <c r="C31" s="226" t="s">
        <v>138</v>
      </c>
      <c r="D31" s="227"/>
      <c r="E31" s="227"/>
      <c r="F31" s="227"/>
      <c r="G31" s="227"/>
      <c r="H31" s="227"/>
      <c r="I31" s="227"/>
      <c r="J31" s="228"/>
      <c r="K31" s="226" t="s">
        <v>139</v>
      </c>
      <c r="L31" s="227"/>
      <c r="M31" s="227"/>
      <c r="N31" s="227"/>
      <c r="O31" s="227"/>
      <c r="P31" s="228"/>
      <c r="Q31" s="207">
        <v>0.06</v>
      </c>
      <c r="R31" s="208"/>
      <c r="S31" s="207">
        <v>5.2999999999999999E-2</v>
      </c>
      <c r="T31" s="208"/>
      <c r="U31" s="207">
        <v>5.2999999999999999E-2</v>
      </c>
      <c r="V31" s="208"/>
      <c r="W31" s="45"/>
      <c r="X31" s="84"/>
      <c r="AA31" s="33"/>
      <c r="AB31" s="33"/>
      <c r="AC31" s="33"/>
      <c r="AD31" s="27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6.5" thickBot="1" x14ac:dyDescent="0.3">
      <c r="A32" s="134">
        <v>48.7</v>
      </c>
      <c r="B32" s="135">
        <v>60</v>
      </c>
      <c r="C32" s="229"/>
      <c r="D32" s="230"/>
      <c r="E32" s="230"/>
      <c r="F32" s="230"/>
      <c r="G32" s="230"/>
      <c r="H32" s="230"/>
      <c r="I32" s="230"/>
      <c r="J32" s="231"/>
      <c r="K32" s="229"/>
      <c r="L32" s="230"/>
      <c r="M32" s="230"/>
      <c r="N32" s="230"/>
      <c r="O32" s="230"/>
      <c r="P32" s="231"/>
      <c r="Q32" s="211"/>
      <c r="R32" s="212"/>
      <c r="S32" s="211"/>
      <c r="T32" s="212"/>
      <c r="U32" s="211"/>
      <c r="V32" s="212"/>
      <c r="W32" s="45"/>
      <c r="X32" s="84"/>
      <c r="AA32" s="33"/>
      <c r="AB32" s="33"/>
      <c r="AC32" s="33"/>
      <c r="AD32" s="27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5.75" x14ac:dyDescent="0.25">
      <c r="A33" s="136">
        <v>47.2</v>
      </c>
      <c r="B33" s="137">
        <v>0.3</v>
      </c>
      <c r="C33" s="226" t="s">
        <v>146</v>
      </c>
      <c r="D33" s="227"/>
      <c r="E33" s="227"/>
      <c r="F33" s="227"/>
      <c r="G33" s="227"/>
      <c r="H33" s="227"/>
      <c r="I33" s="227"/>
      <c r="J33" s="228"/>
      <c r="K33" s="226" t="s">
        <v>140</v>
      </c>
      <c r="L33" s="227"/>
      <c r="M33" s="227"/>
      <c r="N33" s="227"/>
      <c r="O33" s="227"/>
      <c r="P33" s="228"/>
      <c r="Q33" s="207">
        <v>0</v>
      </c>
      <c r="R33" s="208"/>
      <c r="S33" s="207">
        <v>0</v>
      </c>
      <c r="T33" s="208"/>
      <c r="U33" s="207">
        <v>0</v>
      </c>
      <c r="V33" s="208"/>
      <c r="W33" s="45"/>
      <c r="X33" s="84"/>
      <c r="AA33" s="33"/>
      <c r="AB33" s="33"/>
      <c r="AC33" s="33"/>
      <c r="AD33" s="27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</row>
    <row r="34" spans="1:41" ht="16.5" thickBot="1" x14ac:dyDescent="0.3">
      <c r="A34" s="138">
        <v>48.8</v>
      </c>
      <c r="B34" s="139">
        <v>40</v>
      </c>
      <c r="C34" s="229"/>
      <c r="D34" s="230"/>
      <c r="E34" s="230"/>
      <c r="F34" s="230"/>
      <c r="G34" s="230"/>
      <c r="H34" s="230"/>
      <c r="I34" s="230"/>
      <c r="J34" s="231"/>
      <c r="K34" s="229"/>
      <c r="L34" s="230"/>
      <c r="M34" s="230"/>
      <c r="N34" s="230"/>
      <c r="O34" s="230"/>
      <c r="P34" s="231"/>
      <c r="Q34" s="211"/>
      <c r="R34" s="212"/>
      <c r="S34" s="211"/>
      <c r="T34" s="212"/>
      <c r="U34" s="211"/>
      <c r="V34" s="212"/>
      <c r="W34" s="45"/>
      <c r="X34" s="84"/>
      <c r="AA34" s="33"/>
      <c r="AB34" s="33"/>
      <c r="AC34" s="33"/>
      <c r="AD34" s="27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</row>
    <row r="35" spans="1:41" ht="15.75" x14ac:dyDescent="0.25">
      <c r="A35" s="132">
        <v>46.7</v>
      </c>
      <c r="B35" s="133">
        <v>0.3</v>
      </c>
      <c r="C35" s="226" t="s">
        <v>142</v>
      </c>
      <c r="D35" s="227"/>
      <c r="E35" s="227"/>
      <c r="F35" s="227"/>
      <c r="G35" s="227"/>
      <c r="H35" s="227"/>
      <c r="I35" s="227"/>
      <c r="J35" s="228"/>
      <c r="K35" s="226" t="s">
        <v>135</v>
      </c>
      <c r="L35" s="227"/>
      <c r="M35" s="227"/>
      <c r="N35" s="227"/>
      <c r="O35" s="227"/>
      <c r="P35" s="228"/>
      <c r="Q35" s="207">
        <v>1.9463999999999999</v>
      </c>
      <c r="R35" s="208"/>
      <c r="S35" s="207">
        <v>2.3616000000000001</v>
      </c>
      <c r="T35" s="208"/>
      <c r="U35" s="207">
        <v>1.9248000000000001</v>
      </c>
      <c r="V35" s="208"/>
      <c r="W35" s="84"/>
      <c r="X35" s="84"/>
      <c r="AA35" s="33"/>
      <c r="AB35" s="33"/>
      <c r="AC35" s="33"/>
      <c r="AD35" s="27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</row>
    <row r="36" spans="1:41" ht="16.5" thickBot="1" x14ac:dyDescent="0.3">
      <c r="A36" s="134">
        <v>48.7</v>
      </c>
      <c r="B36" s="135">
        <v>60</v>
      </c>
      <c r="C36" s="257"/>
      <c r="D36" s="258"/>
      <c r="E36" s="258"/>
      <c r="F36" s="258"/>
      <c r="G36" s="258"/>
      <c r="H36" s="258"/>
      <c r="I36" s="258"/>
      <c r="J36" s="259"/>
      <c r="K36" s="257"/>
      <c r="L36" s="258"/>
      <c r="M36" s="258"/>
      <c r="N36" s="258"/>
      <c r="O36" s="258"/>
      <c r="P36" s="259"/>
      <c r="Q36" s="209"/>
      <c r="R36" s="210"/>
      <c r="S36" s="209"/>
      <c r="T36" s="210"/>
      <c r="U36" s="209"/>
      <c r="V36" s="210"/>
      <c r="W36" s="84"/>
      <c r="X36" s="84"/>
      <c r="AA36" s="33"/>
      <c r="AB36" s="33"/>
      <c r="AC36" s="33"/>
      <c r="AD36" s="27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</row>
    <row r="37" spans="1:41" ht="30.75" customHeight="1" x14ac:dyDescent="0.25">
      <c r="A37" s="43"/>
      <c r="B37" s="43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43"/>
      <c r="R37" s="43"/>
      <c r="S37" s="43"/>
      <c r="T37" s="43"/>
      <c r="U37" s="43"/>
      <c r="V37" s="43"/>
      <c r="W37" s="84"/>
      <c r="X37" s="84"/>
      <c r="AA37" s="33"/>
      <c r="AB37" s="33"/>
      <c r="AC37" s="33"/>
      <c r="AD37" s="27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</row>
    <row r="38" spans="1:41" s="16" customFormat="1" ht="41.25" customHeight="1" x14ac:dyDescent="0.3">
      <c r="A38" s="14"/>
      <c r="B38" s="15"/>
      <c r="C38" s="34" t="s">
        <v>56</v>
      </c>
      <c r="D38" s="15"/>
      <c r="E38" s="15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</sheetData>
  <mergeCells count="87">
    <mergeCell ref="A8:B8"/>
    <mergeCell ref="C8:D8"/>
    <mergeCell ref="A9:B9"/>
    <mergeCell ref="C9:D9"/>
    <mergeCell ref="A10:B10"/>
    <mergeCell ref="C10:D10"/>
    <mergeCell ref="C13:D13"/>
    <mergeCell ref="A13:B13"/>
    <mergeCell ref="A12:B12"/>
    <mergeCell ref="A11:B11"/>
    <mergeCell ref="C11:D11"/>
    <mergeCell ref="U23:V24"/>
    <mergeCell ref="C31:J32"/>
    <mergeCell ref="K31:P32"/>
    <mergeCell ref="Q31:R32"/>
    <mergeCell ref="K23:P24"/>
    <mergeCell ref="Q23:R24"/>
    <mergeCell ref="S23:T24"/>
    <mergeCell ref="C27:J28"/>
    <mergeCell ref="K27:P28"/>
    <mergeCell ref="Q27:R28"/>
    <mergeCell ref="S27:T28"/>
    <mergeCell ref="C25:J26"/>
    <mergeCell ref="K25:P26"/>
    <mergeCell ref="Q25:R26"/>
    <mergeCell ref="S25:T26"/>
    <mergeCell ref="S31:T32"/>
    <mergeCell ref="C35:J36"/>
    <mergeCell ref="K35:P36"/>
    <mergeCell ref="Q35:R36"/>
    <mergeCell ref="S35:T36"/>
    <mergeCell ref="C23:J24"/>
    <mergeCell ref="C33:J34"/>
    <mergeCell ref="K33:P34"/>
    <mergeCell ref="Q33:R34"/>
    <mergeCell ref="S33:T34"/>
    <mergeCell ref="C29:J30"/>
    <mergeCell ref="K29:P30"/>
    <mergeCell ref="Q29:R30"/>
    <mergeCell ref="S29:T30"/>
    <mergeCell ref="S19:T20"/>
    <mergeCell ref="U21:V22"/>
    <mergeCell ref="C21:J22"/>
    <mergeCell ref="K21:P22"/>
    <mergeCell ref="Q21:R22"/>
    <mergeCell ref="C19:J20"/>
    <mergeCell ref="K19:P20"/>
    <mergeCell ref="Q19:R20"/>
    <mergeCell ref="U19:V20"/>
    <mergeCell ref="S21:T22"/>
    <mergeCell ref="K17:P18"/>
    <mergeCell ref="Q17:R18"/>
    <mergeCell ref="C17:J18"/>
    <mergeCell ref="A1:AD1"/>
    <mergeCell ref="A5:F5"/>
    <mergeCell ref="G5:AD5"/>
    <mergeCell ref="A6:B6"/>
    <mergeCell ref="C6:D6"/>
    <mergeCell ref="A7:B7"/>
    <mergeCell ref="C7:D7"/>
    <mergeCell ref="A15:B15"/>
    <mergeCell ref="C15:J16"/>
    <mergeCell ref="K15:P16"/>
    <mergeCell ref="Q15:V15"/>
    <mergeCell ref="Q16:R16"/>
    <mergeCell ref="C12:D12"/>
    <mergeCell ref="AL18:AM18"/>
    <mergeCell ref="AN18:AO18"/>
    <mergeCell ref="AL16:AM16"/>
    <mergeCell ref="AN16:AO16"/>
    <mergeCell ref="S16:T16"/>
    <mergeCell ref="S17:T18"/>
    <mergeCell ref="U16:V16"/>
    <mergeCell ref="AD15:AI16"/>
    <mergeCell ref="AJ15:AO15"/>
    <mergeCell ref="U17:V18"/>
    <mergeCell ref="AJ16:AK16"/>
    <mergeCell ref="AL17:AM17"/>
    <mergeCell ref="AN17:AO17"/>
    <mergeCell ref="AJ18:AK18"/>
    <mergeCell ref="AJ17:AK17"/>
    <mergeCell ref="U35:V36"/>
    <mergeCell ref="U25:V26"/>
    <mergeCell ref="U27:V28"/>
    <mergeCell ref="U29:V30"/>
    <mergeCell ref="U31:V32"/>
    <mergeCell ref="U33:V34"/>
  </mergeCells>
  <phoneticPr fontId="16" type="noConversion"/>
  <printOptions horizontalCentered="1" verticalCentered="1"/>
  <pageMargins left="0.35433070866141736" right="0.39370078740157483" top="0" bottom="0" header="0" footer="0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38"/>
  <sheetViews>
    <sheetView view="pageBreakPreview" zoomScale="90" zoomScaleSheetLayoutView="90" workbookViewId="0">
      <selection activeCell="H33" sqref="H33"/>
    </sheetView>
  </sheetViews>
  <sheetFormatPr defaultRowHeight="15" x14ac:dyDescent="0.25"/>
  <cols>
    <col min="1" max="1" width="7.85546875" style="8" customWidth="1"/>
    <col min="2" max="2" width="10.7109375" style="8" customWidth="1"/>
    <col min="3" max="3" width="9.5703125" style="8" customWidth="1"/>
    <col min="4" max="4" width="10.7109375" style="8" customWidth="1"/>
    <col min="5" max="5" width="11.42578125" style="8" customWidth="1"/>
    <col min="6" max="7" width="9.28515625" style="8" customWidth="1"/>
    <col min="8" max="9" width="10.7109375" style="8" customWidth="1"/>
    <col min="10" max="11" width="9.28515625" style="8" customWidth="1"/>
    <col min="12" max="13" width="10.7109375" style="8" customWidth="1"/>
    <col min="14" max="14" width="10.140625" style="8" customWidth="1"/>
    <col min="15" max="15" width="10.7109375" style="8" bestFit="1" customWidth="1"/>
    <col min="16" max="16" width="10.28515625" style="8" bestFit="1" customWidth="1"/>
    <col min="17" max="17" width="9.28515625" style="8" bestFit="1" customWidth="1"/>
    <col min="18" max="19" width="11.42578125" style="8" bestFit="1" customWidth="1"/>
    <col min="20" max="21" width="10.7109375" style="8" bestFit="1" customWidth="1"/>
    <col min="22" max="22" width="11.85546875" style="8" bestFit="1" customWidth="1"/>
    <col min="23" max="23" width="9.28515625" style="8" bestFit="1" customWidth="1"/>
    <col min="24" max="24" width="15" style="8" customWidth="1"/>
    <col min="25" max="25" width="11.7109375" style="8" customWidth="1"/>
    <col min="26" max="26" width="12.140625" style="8" customWidth="1"/>
    <col min="27" max="27" width="11.42578125" style="8" customWidth="1"/>
    <col min="28" max="28" width="13.7109375" style="8" customWidth="1"/>
    <col min="29" max="16384" width="9.140625" style="8"/>
  </cols>
  <sheetData>
    <row r="1" spans="1:28" x14ac:dyDescent="0.25">
      <c r="A1" s="264" t="s">
        <v>126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6"/>
    </row>
    <row r="2" spans="1:28" ht="35.25" customHeight="1" x14ac:dyDescent="0.25">
      <c r="A2" s="267" t="s">
        <v>268</v>
      </c>
      <c r="B2" s="268"/>
      <c r="C2" s="95"/>
      <c r="D2" s="269" t="s">
        <v>231</v>
      </c>
      <c r="E2" s="269"/>
      <c r="F2" s="270"/>
      <c r="G2" s="270"/>
      <c r="H2" s="271"/>
      <c r="I2" s="271"/>
      <c r="J2" s="271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272" t="s">
        <v>229</v>
      </c>
      <c r="W2" s="272"/>
      <c r="X2" s="272"/>
      <c r="Y2" s="272"/>
      <c r="Z2" s="272"/>
      <c r="AA2" s="272"/>
      <c r="AB2" s="273"/>
    </row>
    <row r="3" spans="1:28" ht="15" customHeight="1" x14ac:dyDescent="0.25">
      <c r="A3" s="274" t="s">
        <v>0</v>
      </c>
      <c r="B3" s="277" t="s">
        <v>115</v>
      </c>
      <c r="C3" s="277" t="s">
        <v>114</v>
      </c>
      <c r="D3" s="277" t="s">
        <v>117</v>
      </c>
      <c r="E3" s="277" t="s">
        <v>116</v>
      </c>
      <c r="F3" s="277" t="s">
        <v>118</v>
      </c>
      <c r="G3" s="277" t="s">
        <v>119</v>
      </c>
      <c r="H3" s="277" t="s">
        <v>120</v>
      </c>
      <c r="I3" s="277" t="s">
        <v>121</v>
      </c>
      <c r="J3" s="277" t="s">
        <v>122</v>
      </c>
      <c r="K3" s="277" t="s">
        <v>123</v>
      </c>
      <c r="L3" s="277" t="s">
        <v>168</v>
      </c>
      <c r="M3" s="277" t="s">
        <v>169</v>
      </c>
      <c r="N3" s="277" t="s">
        <v>170</v>
      </c>
      <c r="O3" s="277" t="s">
        <v>171</v>
      </c>
      <c r="P3" s="277" t="s">
        <v>172</v>
      </c>
      <c r="Q3" s="277" t="s">
        <v>173</v>
      </c>
      <c r="R3" s="277" t="s">
        <v>174</v>
      </c>
      <c r="S3" s="277" t="s">
        <v>175</v>
      </c>
      <c r="T3" s="277" t="s">
        <v>176</v>
      </c>
      <c r="U3" s="277" t="s">
        <v>177</v>
      </c>
      <c r="V3" s="288" t="s">
        <v>3</v>
      </c>
      <c r="W3" s="289"/>
      <c r="X3" s="290"/>
      <c r="Y3" s="295" t="s">
        <v>124</v>
      </c>
      <c r="Z3" s="277" t="s">
        <v>125</v>
      </c>
      <c r="AA3" s="280" t="s">
        <v>55</v>
      </c>
      <c r="AB3" s="284" t="s">
        <v>254</v>
      </c>
    </row>
    <row r="4" spans="1:28" x14ac:dyDescent="0.25">
      <c r="A4" s="275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91"/>
      <c r="W4" s="292"/>
      <c r="X4" s="293"/>
      <c r="Y4" s="296"/>
      <c r="Z4" s="278"/>
      <c r="AA4" s="281"/>
      <c r="AB4" s="285"/>
    </row>
    <row r="5" spans="1:28" ht="21.75" customHeight="1" x14ac:dyDescent="0.25">
      <c r="A5" s="275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94" t="s">
        <v>4</v>
      </c>
      <c r="W5" s="294" t="s">
        <v>5</v>
      </c>
      <c r="X5" s="294" t="s">
        <v>6</v>
      </c>
      <c r="Y5" s="296"/>
      <c r="Z5" s="278"/>
      <c r="AA5" s="281"/>
      <c r="AB5" s="285"/>
    </row>
    <row r="6" spans="1:28" x14ac:dyDescent="0.25">
      <c r="A6" s="275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94"/>
      <c r="W6" s="294"/>
      <c r="X6" s="294"/>
      <c r="Y6" s="97" t="s">
        <v>1</v>
      </c>
      <c r="Z6" s="278"/>
      <c r="AA6" s="282"/>
      <c r="AB6" s="286"/>
    </row>
    <row r="7" spans="1:28" x14ac:dyDescent="0.25">
      <c r="A7" s="275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94"/>
      <c r="W7" s="294"/>
      <c r="X7" s="294"/>
      <c r="Y7" s="97" t="s">
        <v>2</v>
      </c>
      <c r="Z7" s="278"/>
      <c r="AA7" s="282"/>
      <c r="AB7" s="286"/>
    </row>
    <row r="8" spans="1:28" x14ac:dyDescent="0.25">
      <c r="A8" s="275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94"/>
      <c r="W8" s="294"/>
      <c r="X8" s="294"/>
      <c r="Y8" s="297" t="s">
        <v>253</v>
      </c>
      <c r="Z8" s="278"/>
      <c r="AA8" s="282"/>
      <c r="AB8" s="286"/>
    </row>
    <row r="9" spans="1:28" x14ac:dyDescent="0.25">
      <c r="A9" s="276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94"/>
      <c r="W9" s="294"/>
      <c r="X9" s="294"/>
      <c r="Y9" s="298"/>
      <c r="Z9" s="279"/>
      <c r="AA9" s="283"/>
      <c r="AB9" s="287"/>
    </row>
    <row r="10" spans="1:28" x14ac:dyDescent="0.25">
      <c r="A10" s="98"/>
      <c r="B10" s="99">
        <v>1</v>
      </c>
      <c r="C10" s="99">
        <f>B10+1</f>
        <v>2</v>
      </c>
      <c r="D10" s="99">
        <f t="shared" ref="D10:AA10" si="0">C10+1</f>
        <v>3</v>
      </c>
      <c r="E10" s="99">
        <f t="shared" si="0"/>
        <v>4</v>
      </c>
      <c r="F10" s="99">
        <f t="shared" si="0"/>
        <v>5</v>
      </c>
      <c r="G10" s="99">
        <f t="shared" si="0"/>
        <v>6</v>
      </c>
      <c r="H10" s="99">
        <f t="shared" si="0"/>
        <v>7</v>
      </c>
      <c r="I10" s="99">
        <f t="shared" si="0"/>
        <v>8</v>
      </c>
      <c r="J10" s="99">
        <f t="shared" si="0"/>
        <v>9</v>
      </c>
      <c r="K10" s="99">
        <f t="shared" si="0"/>
        <v>10</v>
      </c>
      <c r="L10" s="99">
        <f t="shared" ref="L10:W10" si="1">K10+1</f>
        <v>11</v>
      </c>
      <c r="M10" s="99">
        <f t="shared" si="1"/>
        <v>12</v>
      </c>
      <c r="N10" s="99">
        <f t="shared" si="1"/>
        <v>13</v>
      </c>
      <c r="O10" s="99">
        <f t="shared" si="1"/>
        <v>14</v>
      </c>
      <c r="P10" s="99">
        <f t="shared" si="1"/>
        <v>15</v>
      </c>
      <c r="Q10" s="99">
        <f t="shared" si="1"/>
        <v>16</v>
      </c>
      <c r="R10" s="99">
        <f t="shared" si="1"/>
        <v>17</v>
      </c>
      <c r="S10" s="99">
        <f t="shared" si="1"/>
        <v>18</v>
      </c>
      <c r="T10" s="99">
        <f t="shared" si="1"/>
        <v>19</v>
      </c>
      <c r="U10" s="99">
        <f t="shared" si="1"/>
        <v>20</v>
      </c>
      <c r="V10" s="99">
        <f t="shared" si="1"/>
        <v>21</v>
      </c>
      <c r="W10" s="99">
        <f t="shared" si="1"/>
        <v>22</v>
      </c>
      <c r="X10" s="99">
        <f t="shared" si="0"/>
        <v>23</v>
      </c>
      <c r="Y10" s="99">
        <f t="shared" si="0"/>
        <v>24</v>
      </c>
      <c r="Z10" s="99">
        <f t="shared" si="0"/>
        <v>25</v>
      </c>
      <c r="AA10" s="99">
        <f t="shared" si="0"/>
        <v>26</v>
      </c>
      <c r="AB10" s="99">
        <f>AA10+1</f>
        <v>27</v>
      </c>
    </row>
    <row r="11" spans="1:28" ht="15.75" x14ac:dyDescent="0.25">
      <c r="A11" s="100" t="s">
        <v>7</v>
      </c>
      <c r="B11" s="126">
        <v>2.6928000000000001</v>
      </c>
      <c r="C11" s="126">
        <v>1.6015999999999999</v>
      </c>
      <c r="D11" s="126">
        <v>4.1360000000000001</v>
      </c>
      <c r="E11" s="126">
        <v>2.7896000000000005</v>
      </c>
      <c r="F11" s="126">
        <v>1.6968000000000003</v>
      </c>
      <c r="G11" s="126">
        <v>1.4472</v>
      </c>
      <c r="H11" s="126">
        <v>1.9416</v>
      </c>
      <c r="I11" s="126">
        <v>1.4808000000000001</v>
      </c>
      <c r="J11" s="126">
        <v>6.2799999999999998E-4</v>
      </c>
      <c r="K11" s="126">
        <v>0</v>
      </c>
      <c r="L11" s="127">
        <v>7.392420768737793</v>
      </c>
      <c r="M11" s="127">
        <v>11.862439155578613</v>
      </c>
      <c r="N11" s="127">
        <v>-2.0032596588134766</v>
      </c>
      <c r="O11" s="114">
        <v>-1.9954037666320801</v>
      </c>
      <c r="P11" s="114">
        <v>-1.8618531227111816</v>
      </c>
      <c r="Q11" s="114">
        <v>-1.1076847314834499</v>
      </c>
      <c r="R11" s="114">
        <v>-7.4945478439331055</v>
      </c>
      <c r="S11" s="114">
        <v>-17.722955703735352</v>
      </c>
      <c r="T11" s="114">
        <v>7.2195906639099121</v>
      </c>
      <c r="U11" s="114">
        <v>12.21595573425293</v>
      </c>
      <c r="V11" s="101">
        <f>SUM(B11,D11,L11,N11,P11,R11,T11)</f>
        <v>10.081150807189942</v>
      </c>
      <c r="W11" s="101"/>
      <c r="X11" s="101">
        <f>SUM(F11,H11,J11)</f>
        <v>3.6390280000000002</v>
      </c>
      <c r="Y11" s="101">
        <f>SUM(V11:X11)</f>
        <v>13.720178807189942</v>
      </c>
      <c r="Z11" s="101">
        <f>C11+E11+G11+I11+K11+M11+O11+Q11+S11+U11</f>
        <v>10.571550687980665</v>
      </c>
      <c r="AA11" s="101">
        <f>'табл2 субаб и сторонние'!BT8</f>
        <v>-2.8415254624585131</v>
      </c>
      <c r="AB11" s="102">
        <f t="shared" ref="AB11:AB34" si="2">Y11-AA11</f>
        <v>16.561704269648455</v>
      </c>
    </row>
    <row r="12" spans="1:28" ht="15.75" x14ac:dyDescent="0.25">
      <c r="A12" s="103" t="s">
        <v>20</v>
      </c>
      <c r="B12" s="126">
        <v>2.6576000000000004</v>
      </c>
      <c r="C12" s="126">
        <v>1.6104000000000001</v>
      </c>
      <c r="D12" s="126">
        <v>4.1536000000000008</v>
      </c>
      <c r="E12" s="126">
        <v>2.8159999999999998</v>
      </c>
      <c r="F12" s="126">
        <v>1.6944000000000001</v>
      </c>
      <c r="G12" s="126">
        <v>1.4568000000000003</v>
      </c>
      <c r="H12" s="126">
        <v>1.9008</v>
      </c>
      <c r="I12" s="126">
        <v>1.488</v>
      </c>
      <c r="J12" s="126">
        <v>6.2399999999999999E-4</v>
      </c>
      <c r="K12" s="126">
        <v>0</v>
      </c>
      <c r="L12" s="127">
        <v>6.5832610130310059</v>
      </c>
      <c r="M12" s="127">
        <v>11.783880233764648</v>
      </c>
      <c r="N12" s="127">
        <v>-2.0503952503204346</v>
      </c>
      <c r="O12" s="114">
        <v>-2.0661070346832275</v>
      </c>
      <c r="P12" s="114">
        <v>-1.9954037666320801</v>
      </c>
      <c r="Q12" s="114">
        <v>-1.0841169357299805</v>
      </c>
      <c r="R12" s="114">
        <v>-5.9940671920776367</v>
      </c>
      <c r="S12" s="114">
        <v>-17.338016510009766</v>
      </c>
      <c r="T12" s="114">
        <v>6.5989727973937988</v>
      </c>
      <c r="U12" s="114">
        <v>12.043125152587891</v>
      </c>
      <c r="V12" s="101">
        <f>SUM(B12,D12,L12,N12,P12,R12,T12)</f>
        <v>9.9535676013946546</v>
      </c>
      <c r="W12" s="101"/>
      <c r="X12" s="101">
        <f t="shared" ref="X12:X34" si="3">SUM(F12,H12,J12)</f>
        <v>3.5958240000000004</v>
      </c>
      <c r="Y12" s="101">
        <f>SUM(V12:X12)</f>
        <v>13.549391601394655</v>
      </c>
      <c r="Z12" s="101">
        <f t="shared" ref="Z12:Z34" si="4">C12+E12+G12+I12+K12+M12+O12+Q12+S12+U12</f>
        <v>10.709964905929567</v>
      </c>
      <c r="AA12" s="101">
        <f>'табл2 субаб и сторонние'!BT9</f>
        <v>-1.5034822913145227</v>
      </c>
      <c r="AB12" s="102">
        <f t="shared" si="2"/>
        <v>15.052873892709178</v>
      </c>
    </row>
    <row r="13" spans="1:28" ht="15.75" x14ac:dyDescent="0.25">
      <c r="A13" s="103" t="s">
        <v>21</v>
      </c>
      <c r="B13" s="126">
        <v>2.5168000000000004</v>
      </c>
      <c r="C13" s="126">
        <v>1.6016000000000001</v>
      </c>
      <c r="D13" s="126">
        <v>4.1360000000000001</v>
      </c>
      <c r="E13" s="126">
        <v>2.8071999999999999</v>
      </c>
      <c r="F13" s="126">
        <v>1.6752</v>
      </c>
      <c r="G13" s="126">
        <v>1.4616</v>
      </c>
      <c r="H13" s="126">
        <v>1.86</v>
      </c>
      <c r="I13" s="126">
        <v>1.5024000000000002</v>
      </c>
      <c r="J13" s="126">
        <v>6.2799999999999998E-4</v>
      </c>
      <c r="K13" s="126">
        <v>0</v>
      </c>
      <c r="L13" s="127">
        <v>6.331871509552002</v>
      </c>
      <c r="M13" s="127">
        <v>15.248340606689453</v>
      </c>
      <c r="N13" s="127">
        <v>-1.9718359708786011</v>
      </c>
      <c r="O13" s="114">
        <v>-2.0346832275390625</v>
      </c>
      <c r="P13" s="114">
        <v>-1.3747860193252563</v>
      </c>
      <c r="Q13" s="114">
        <v>-1.0291255712509155</v>
      </c>
      <c r="R13" s="114">
        <v>-6.6932439804077148</v>
      </c>
      <c r="S13" s="114">
        <v>-24.282649993896484</v>
      </c>
      <c r="T13" s="114">
        <v>6.7325234413146973</v>
      </c>
      <c r="U13" s="114">
        <v>15.491874694824219</v>
      </c>
      <c r="V13" s="101">
        <f>SUM(B13,D13,L13,N13,P13,R13,T13)</f>
        <v>9.6773289802551279</v>
      </c>
      <c r="W13" s="101"/>
      <c r="X13" s="101">
        <f t="shared" si="3"/>
        <v>3.535828</v>
      </c>
      <c r="Y13" s="101">
        <f t="shared" ref="Y13:Y34" si="5">SUM(V13:X13)</f>
        <v>13.213156980255128</v>
      </c>
      <c r="Z13" s="101">
        <f t="shared" si="4"/>
        <v>10.766556508827207</v>
      </c>
      <c r="AA13" s="101">
        <f>'табл2 субаб и сторонние'!BT10</f>
        <v>-1.4776669154554973</v>
      </c>
      <c r="AB13" s="102">
        <f t="shared" si="2"/>
        <v>14.690823895710626</v>
      </c>
    </row>
    <row r="14" spans="1:28" ht="15.75" x14ac:dyDescent="0.25">
      <c r="A14" s="103" t="s">
        <v>22</v>
      </c>
      <c r="B14" s="126">
        <v>2.5784000000000002</v>
      </c>
      <c r="C14" s="126">
        <v>1.5928000000000002</v>
      </c>
      <c r="D14" s="126">
        <v>4.0831999999999997</v>
      </c>
      <c r="E14" s="126">
        <v>2.7808000000000002</v>
      </c>
      <c r="F14" s="126">
        <v>1.6776</v>
      </c>
      <c r="G14" s="126">
        <v>1.4736</v>
      </c>
      <c r="H14" s="126">
        <v>1.9463999999999999</v>
      </c>
      <c r="I14" s="126">
        <v>1.5192000000000001</v>
      </c>
      <c r="J14" s="126">
        <v>6.2399999999999999E-4</v>
      </c>
      <c r="K14" s="126">
        <v>0</v>
      </c>
      <c r="L14" s="127">
        <v>6.7089557647705078</v>
      </c>
      <c r="M14" s="127">
        <v>15.295476913452148</v>
      </c>
      <c r="N14" s="127">
        <v>-2.073962926864624</v>
      </c>
      <c r="O14" s="114">
        <v>-2.1289544105529785</v>
      </c>
      <c r="P14" s="114">
        <v>-1.4612011909484863</v>
      </c>
      <c r="Q14" s="114">
        <v>-1.013413667678833</v>
      </c>
      <c r="R14" s="114">
        <v>-8.2408599853515625</v>
      </c>
      <c r="S14" s="114">
        <v>-23.913421630859375</v>
      </c>
      <c r="T14" s="114">
        <v>6.6775321960449219</v>
      </c>
      <c r="U14" s="114">
        <v>15.523298263549805</v>
      </c>
      <c r="V14" s="101">
        <f>SUM(B14,D14,L14,N14,P14,R14,T14)</f>
        <v>8.2720638576507568</v>
      </c>
      <c r="W14" s="101"/>
      <c r="X14" s="101">
        <f t="shared" si="3"/>
        <v>3.6246239999999998</v>
      </c>
      <c r="Y14" s="101">
        <f t="shared" si="5"/>
        <v>11.896687857650758</v>
      </c>
      <c r="Z14" s="101">
        <f t="shared" si="4"/>
        <v>11.129385467910765</v>
      </c>
      <c r="AA14" s="101">
        <f>'табл2 субаб и сторонние'!BT11</f>
        <v>-3.2888083507438299</v>
      </c>
      <c r="AB14" s="102">
        <f t="shared" si="2"/>
        <v>15.185496208394587</v>
      </c>
    </row>
    <row r="15" spans="1:28" ht="15.75" x14ac:dyDescent="0.25">
      <c r="A15" s="103" t="s">
        <v>23</v>
      </c>
      <c r="B15" s="126">
        <v>2.5960000000000001</v>
      </c>
      <c r="C15" s="126">
        <v>1.5664</v>
      </c>
      <c r="D15" s="126">
        <v>4.0568</v>
      </c>
      <c r="E15" s="126">
        <v>2.7456000000000005</v>
      </c>
      <c r="F15" s="126">
        <v>1.6824000000000001</v>
      </c>
      <c r="G15" s="126">
        <v>1.4664000000000001</v>
      </c>
      <c r="H15" s="126">
        <v>1.9824000000000002</v>
      </c>
      <c r="I15" s="126">
        <v>1.5312000000000001</v>
      </c>
      <c r="J15" s="126">
        <v>6.2799999999999998E-4</v>
      </c>
      <c r="K15" s="126">
        <v>0</v>
      </c>
      <c r="L15" s="127">
        <v>12.545904159545898</v>
      </c>
      <c r="M15" s="127">
        <v>13.512182235717773</v>
      </c>
      <c r="N15" s="127">
        <v>-1.8461412191390991</v>
      </c>
      <c r="O15" s="114">
        <v>-1.6733109951019287</v>
      </c>
      <c r="P15" s="114">
        <v>-1.3040827512741089</v>
      </c>
      <c r="Q15" s="114">
        <v>-0.80915975570678711</v>
      </c>
      <c r="R15" s="114">
        <v>-18.948478698730469</v>
      </c>
      <c r="S15" s="114">
        <v>-21.383813858032227</v>
      </c>
      <c r="T15" s="114">
        <v>12.671599388122559</v>
      </c>
      <c r="U15" s="114">
        <v>13.70858097076416</v>
      </c>
      <c r="V15" s="101">
        <f t="shared" ref="V15:V34" si="6">SUM(B15,D15,L15,N15,P15,R15,T15)</f>
        <v>9.7716008785247794</v>
      </c>
      <c r="W15" s="101"/>
      <c r="X15" s="101">
        <f t="shared" si="3"/>
        <v>3.6654280000000004</v>
      </c>
      <c r="Y15" s="101">
        <f t="shared" si="5"/>
        <v>13.43702887852478</v>
      </c>
      <c r="Z15" s="101">
        <f t="shared" si="4"/>
        <v>10.664078597640991</v>
      </c>
      <c r="AA15" s="101">
        <f>'табл2 субаб и сторонние'!BT12</f>
        <v>-13.497729318557845</v>
      </c>
      <c r="AB15" s="102">
        <f t="shared" si="2"/>
        <v>26.934758197082623</v>
      </c>
    </row>
    <row r="16" spans="1:28" ht="15.75" x14ac:dyDescent="0.25">
      <c r="A16" s="103" t="s">
        <v>24</v>
      </c>
      <c r="B16" s="126">
        <v>2.6048000000000004</v>
      </c>
      <c r="C16" s="126">
        <v>1.5312000000000001</v>
      </c>
      <c r="D16" s="126">
        <v>4.0568</v>
      </c>
      <c r="E16" s="126">
        <v>2.7104000000000004</v>
      </c>
      <c r="F16" s="126">
        <v>1.6632</v>
      </c>
      <c r="G16" s="126">
        <v>1.44</v>
      </c>
      <c r="H16" s="126">
        <v>1.9416</v>
      </c>
      <c r="I16" s="126">
        <v>1.476</v>
      </c>
      <c r="J16" s="126">
        <v>6.2399999999999999E-4</v>
      </c>
      <c r="K16" s="126">
        <v>0</v>
      </c>
      <c r="L16" s="127">
        <v>14.541308403015137</v>
      </c>
      <c r="M16" s="127">
        <v>13.42576789855957</v>
      </c>
      <c r="N16" s="127">
        <v>-2.089674711227417</v>
      </c>
      <c r="O16" s="114">
        <v>-2.0582511425018311</v>
      </c>
      <c r="P16" s="114">
        <v>-1.2883708477020264</v>
      </c>
      <c r="Q16" s="114">
        <v>-0.7227446436882019</v>
      </c>
      <c r="R16" s="114">
        <v>-23.371362686157227</v>
      </c>
      <c r="S16" s="114">
        <v>-21.446660995483398</v>
      </c>
      <c r="T16" s="114">
        <v>15.03623104095459</v>
      </c>
      <c r="U16" s="114">
        <v>13.787139892578125</v>
      </c>
      <c r="V16" s="101">
        <f t="shared" si="6"/>
        <v>9.4897311988830566</v>
      </c>
      <c r="W16" s="101"/>
      <c r="X16" s="101">
        <f t="shared" si="3"/>
        <v>3.6054240000000002</v>
      </c>
      <c r="Y16" s="101">
        <f t="shared" si="5"/>
        <v>13.095155198883056</v>
      </c>
      <c r="Z16" s="101">
        <f t="shared" si="4"/>
        <v>10.142851009464263</v>
      </c>
      <c r="AA16" s="101">
        <f>'табл2 субаб и сторонние'!BT13</f>
        <v>-18.286585724821776</v>
      </c>
      <c r="AB16" s="102">
        <f t="shared" si="2"/>
        <v>31.381740923704832</v>
      </c>
    </row>
    <row r="17" spans="1:28" ht="15.75" x14ac:dyDescent="0.25">
      <c r="A17" s="103" t="s">
        <v>25</v>
      </c>
      <c r="B17" s="126">
        <v>2.64</v>
      </c>
      <c r="C17" s="126">
        <v>1.5048000000000001</v>
      </c>
      <c r="D17" s="126">
        <v>4.1448</v>
      </c>
      <c r="E17" s="126">
        <v>2.6928000000000001</v>
      </c>
      <c r="F17" s="126">
        <v>1.7232000000000001</v>
      </c>
      <c r="G17" s="126">
        <v>1.3872</v>
      </c>
      <c r="H17" s="126">
        <v>1.9080000000000001</v>
      </c>
      <c r="I17" s="126">
        <v>1.4184000000000001</v>
      </c>
      <c r="J17" s="126">
        <v>6.2799999999999998E-4</v>
      </c>
      <c r="K17" s="126">
        <v>0</v>
      </c>
      <c r="L17" s="127">
        <v>16.725254058837891</v>
      </c>
      <c r="M17" s="127">
        <v>11.320381164550781</v>
      </c>
      <c r="N17" s="127">
        <v>-1.987547755241394</v>
      </c>
      <c r="O17" s="114">
        <v>-1.8618531227111816</v>
      </c>
      <c r="P17" s="114">
        <v>-1.2648031711578369</v>
      </c>
      <c r="Q17" s="114">
        <v>-0.66775321960449219</v>
      </c>
      <c r="R17" s="114">
        <v>-27.228618621826172</v>
      </c>
      <c r="S17" s="114">
        <v>-18.021480560302734</v>
      </c>
      <c r="T17" s="114">
        <v>17.235889434814453</v>
      </c>
      <c r="U17" s="114">
        <v>11.579626083374023</v>
      </c>
      <c r="V17" s="101">
        <f t="shared" si="6"/>
        <v>10.264973945426942</v>
      </c>
      <c r="W17" s="101"/>
      <c r="X17" s="101">
        <f t="shared" si="3"/>
        <v>3.6318280000000001</v>
      </c>
      <c r="Y17" s="101">
        <f t="shared" si="5"/>
        <v>13.896801945426942</v>
      </c>
      <c r="Z17" s="101">
        <f t="shared" si="4"/>
        <v>9.3521203453063961</v>
      </c>
      <c r="AA17" s="101">
        <f>'табл2 субаб и сторонние'!BT14</f>
        <v>-21.800707122865155</v>
      </c>
      <c r="AB17" s="102">
        <f t="shared" si="2"/>
        <v>35.697509068292099</v>
      </c>
    </row>
    <row r="18" spans="1:28" ht="15.75" x14ac:dyDescent="0.25">
      <c r="A18" s="103" t="s">
        <v>26</v>
      </c>
      <c r="B18" s="126">
        <v>2.6840000000000002</v>
      </c>
      <c r="C18" s="126">
        <v>1.4872000000000001</v>
      </c>
      <c r="D18" s="126">
        <v>4.2152000000000003</v>
      </c>
      <c r="E18" s="126">
        <v>2.7016000000000004</v>
      </c>
      <c r="F18" s="126">
        <v>1.8912</v>
      </c>
      <c r="G18" s="126">
        <v>1.4687999999999999</v>
      </c>
      <c r="H18" s="126">
        <v>2.0304000000000002</v>
      </c>
      <c r="I18" s="126">
        <v>1.4688000000000001</v>
      </c>
      <c r="J18" s="126">
        <v>6.2E-4</v>
      </c>
      <c r="K18" s="126">
        <v>0</v>
      </c>
      <c r="L18" s="127">
        <v>16.88237190246582</v>
      </c>
      <c r="M18" s="127">
        <v>9.0971555709838867</v>
      </c>
      <c r="N18" s="127">
        <v>-2.1918017864227295</v>
      </c>
      <c r="O18" s="114">
        <v>-1.8932766914367676</v>
      </c>
      <c r="P18" s="114">
        <v>-1.8461412191390991</v>
      </c>
      <c r="Q18" s="114">
        <v>-0.91914266347885132</v>
      </c>
      <c r="R18" s="114">
        <v>-26.026662826538086</v>
      </c>
      <c r="S18" s="114">
        <v>-12.765870094299316</v>
      </c>
      <c r="T18" s="114">
        <v>17.385150909423828</v>
      </c>
      <c r="U18" s="114">
        <v>9.3564004898071289</v>
      </c>
      <c r="V18" s="101">
        <f t="shared" si="6"/>
        <v>11.102116979789734</v>
      </c>
      <c r="W18" s="101"/>
      <c r="X18" s="101">
        <f t="shared" si="3"/>
        <v>3.9222200000000003</v>
      </c>
      <c r="Y18" s="101">
        <f t="shared" si="5"/>
        <v>15.024336979789734</v>
      </c>
      <c r="Z18" s="101">
        <f t="shared" si="4"/>
        <v>10.001666611576081</v>
      </c>
      <c r="AA18" s="101">
        <f>'табл2 субаб и сторонние'!BT15</f>
        <v>-21.304142294255438</v>
      </c>
      <c r="AB18" s="102">
        <f t="shared" si="2"/>
        <v>36.328479274045172</v>
      </c>
    </row>
    <row r="19" spans="1:28" ht="15.75" x14ac:dyDescent="0.25">
      <c r="A19" s="103" t="s">
        <v>27</v>
      </c>
      <c r="B19" s="126">
        <v>2.8864000000000001</v>
      </c>
      <c r="C19" s="126">
        <v>1.5312000000000001</v>
      </c>
      <c r="D19" s="126">
        <v>4.4088000000000003</v>
      </c>
      <c r="E19" s="126">
        <v>2.8248000000000002</v>
      </c>
      <c r="F19" s="126">
        <v>2.0424000000000002</v>
      </c>
      <c r="G19" s="126">
        <v>1.4904000000000002</v>
      </c>
      <c r="H19" s="126">
        <v>2.3616000000000001</v>
      </c>
      <c r="I19" s="126">
        <v>1.6008000000000002</v>
      </c>
      <c r="J19" s="126">
        <v>5.9600000000000007E-4</v>
      </c>
      <c r="K19" s="126">
        <v>0</v>
      </c>
      <c r="L19" s="127">
        <v>14.588443756103516</v>
      </c>
      <c r="M19" s="127">
        <v>10.306966781616211</v>
      </c>
      <c r="N19" s="127">
        <v>-2.5610299110412598</v>
      </c>
      <c r="O19" s="114">
        <v>-2.262505054473877</v>
      </c>
      <c r="P19" s="114">
        <v>-1.9482681751251221</v>
      </c>
      <c r="Q19" s="114">
        <v>-0.95056635141372681</v>
      </c>
      <c r="R19" s="114">
        <v>-22.161550521850586</v>
      </c>
      <c r="S19" s="114">
        <v>-14.368477821350098</v>
      </c>
      <c r="T19" s="114">
        <v>15.028375625610352</v>
      </c>
      <c r="U19" s="114">
        <v>10.134137153625488</v>
      </c>
      <c r="V19" s="101">
        <f t="shared" si="6"/>
        <v>10.241170773696901</v>
      </c>
      <c r="W19" s="101"/>
      <c r="X19" s="101">
        <f t="shared" si="3"/>
        <v>4.4045959999999997</v>
      </c>
      <c r="Y19" s="101">
        <f t="shared" si="5"/>
        <v>14.6457667736969</v>
      </c>
      <c r="Z19" s="101">
        <f t="shared" si="4"/>
        <v>10.306754708004</v>
      </c>
      <c r="AA19" s="101">
        <f>'табл2 субаб и сторонние'!BT16</f>
        <v>-17.718965737369615</v>
      </c>
      <c r="AB19" s="102">
        <f t="shared" si="2"/>
        <v>32.364732511066514</v>
      </c>
    </row>
    <row r="20" spans="1:28" ht="15.75" x14ac:dyDescent="0.25">
      <c r="A20" s="103" t="s">
        <v>32</v>
      </c>
      <c r="B20" s="126">
        <v>2.7720000000000002</v>
      </c>
      <c r="C20" s="126">
        <v>1.5312000000000001</v>
      </c>
      <c r="D20" s="126">
        <v>4.0216000000000003</v>
      </c>
      <c r="E20" s="126">
        <v>2.3936000000000006</v>
      </c>
      <c r="F20" s="126">
        <v>2.0640000000000001</v>
      </c>
      <c r="G20" s="126">
        <v>1.4832000000000001</v>
      </c>
      <c r="H20" s="126">
        <v>2.6328</v>
      </c>
      <c r="I20" s="126">
        <v>1.6560000000000001</v>
      </c>
      <c r="J20" s="126">
        <v>5.9200000000000008E-4</v>
      </c>
      <c r="K20" s="126">
        <v>0</v>
      </c>
      <c r="L20" s="127">
        <v>14.085664749145508</v>
      </c>
      <c r="M20" s="127">
        <v>6.7168116569519043</v>
      </c>
      <c r="N20" s="127">
        <v>-2.4589030742645264</v>
      </c>
      <c r="O20" s="114">
        <v>-2.2546491622924805</v>
      </c>
      <c r="P20" s="114">
        <v>-1.4926248788833618</v>
      </c>
      <c r="Q20" s="114">
        <v>-0.98199003934860229</v>
      </c>
      <c r="R20" s="114">
        <v>-20.590366363525391</v>
      </c>
      <c r="S20" s="114">
        <v>-7.6988015174865723</v>
      </c>
      <c r="T20" s="114">
        <v>14.305630683898926</v>
      </c>
      <c r="U20" s="114">
        <v>6.7875151634216309</v>
      </c>
      <c r="V20" s="101">
        <f t="shared" si="6"/>
        <v>10.643001116371156</v>
      </c>
      <c r="W20" s="101"/>
      <c r="X20" s="101">
        <f t="shared" si="3"/>
        <v>4.6973919999999998</v>
      </c>
      <c r="Y20" s="101">
        <f t="shared" si="5"/>
        <v>15.340393116371157</v>
      </c>
      <c r="Z20" s="101">
        <f t="shared" si="4"/>
        <v>9.632886101245882</v>
      </c>
      <c r="AA20" s="101">
        <f>'табл2 субаб и сторонние'!BT17</f>
        <v>-15.373311420383251</v>
      </c>
      <c r="AB20" s="102">
        <f t="shared" si="2"/>
        <v>30.713704536754406</v>
      </c>
    </row>
    <row r="21" spans="1:28" ht="15.75" x14ac:dyDescent="0.25">
      <c r="A21" s="103" t="s">
        <v>28</v>
      </c>
      <c r="B21" s="126">
        <v>2.8248000000000002</v>
      </c>
      <c r="C21" s="126">
        <v>1.5048000000000001</v>
      </c>
      <c r="D21" s="126">
        <v>3.9512</v>
      </c>
      <c r="E21" s="126">
        <v>2.1208</v>
      </c>
      <c r="F21" s="126">
        <v>2.0736000000000003</v>
      </c>
      <c r="G21" s="126">
        <v>1.5144000000000002</v>
      </c>
      <c r="H21" s="126">
        <v>2.6496000000000004</v>
      </c>
      <c r="I21" s="126">
        <v>1.6560000000000001</v>
      </c>
      <c r="J21" s="126">
        <v>5.9200000000000008E-4</v>
      </c>
      <c r="K21" s="126">
        <v>0</v>
      </c>
      <c r="L21" s="127">
        <v>14.745561599731445</v>
      </c>
      <c r="M21" s="127">
        <v>6.4497103691101074</v>
      </c>
      <c r="N21" s="127">
        <v>-2.4353351593017578</v>
      </c>
      <c r="O21" s="114">
        <v>-1.9561240673065186</v>
      </c>
      <c r="P21" s="114">
        <v>-1.7125905752182007</v>
      </c>
      <c r="Q21" s="114">
        <v>-0.95056635141372681</v>
      </c>
      <c r="R21" s="114">
        <v>-22.617193222045898</v>
      </c>
      <c r="S21" s="114">
        <v>-8.1623010635375977</v>
      </c>
      <c r="T21" s="114">
        <v>14.918392181396484</v>
      </c>
      <c r="U21" s="114">
        <v>6.5754051208496094</v>
      </c>
      <c r="V21" s="101">
        <f t="shared" si="6"/>
        <v>9.6748348245620726</v>
      </c>
      <c r="W21" s="101"/>
      <c r="X21" s="101">
        <f t="shared" si="3"/>
        <v>4.7237920000000004</v>
      </c>
      <c r="Y21" s="101">
        <f t="shared" si="5"/>
        <v>14.398626824562072</v>
      </c>
      <c r="Z21" s="101">
        <f t="shared" si="4"/>
        <v>8.7521240077018749</v>
      </c>
      <c r="AA21" s="101">
        <f>'табл2 субаб и сторонние'!BT18</f>
        <v>-17.507003476778472</v>
      </c>
      <c r="AB21" s="102">
        <f t="shared" si="2"/>
        <v>31.905630301340544</v>
      </c>
    </row>
    <row r="22" spans="1:28" ht="15.75" x14ac:dyDescent="0.25">
      <c r="A22" s="103" t="s">
        <v>29</v>
      </c>
      <c r="B22" s="126">
        <v>2.7808000000000002</v>
      </c>
      <c r="C22" s="126">
        <v>1.452</v>
      </c>
      <c r="D22" s="126">
        <v>4.7256</v>
      </c>
      <c r="E22" s="126">
        <v>2.992</v>
      </c>
      <c r="F22" s="126">
        <v>2.0663999999999998</v>
      </c>
      <c r="G22" s="126">
        <v>1.512</v>
      </c>
      <c r="H22" s="126">
        <v>2.5176000000000003</v>
      </c>
      <c r="I22" s="126">
        <v>1.5695999999999999</v>
      </c>
      <c r="J22" s="126">
        <v>5.7600000000000012E-4</v>
      </c>
      <c r="K22" s="126">
        <v>0</v>
      </c>
      <c r="L22" s="127">
        <v>16.717397689819336</v>
      </c>
      <c r="M22" s="127">
        <v>6.6382527351379395</v>
      </c>
      <c r="N22" s="127">
        <v>-2.5531740188598633</v>
      </c>
      <c r="O22" s="114">
        <v>-1.9639800786972046</v>
      </c>
      <c r="P22" s="114">
        <v>-2.1289544105529785</v>
      </c>
      <c r="Q22" s="114">
        <v>-1.0448373556137085</v>
      </c>
      <c r="R22" s="114">
        <v>-25.916681289672852</v>
      </c>
      <c r="S22" s="114">
        <v>-8.5708084106445313</v>
      </c>
      <c r="T22" s="114">
        <v>16.48957633972168</v>
      </c>
      <c r="U22" s="114">
        <v>6.5832610130310059</v>
      </c>
      <c r="V22" s="101">
        <f t="shared" si="6"/>
        <v>10.114564310455322</v>
      </c>
      <c r="W22" s="101"/>
      <c r="X22" s="101">
        <f t="shared" si="3"/>
        <v>4.5845759999999993</v>
      </c>
      <c r="Y22" s="101">
        <f t="shared" si="5"/>
        <v>14.69914031045532</v>
      </c>
      <c r="Z22" s="101">
        <f t="shared" si="4"/>
        <v>9.1674879032134999</v>
      </c>
      <c r="AA22" s="101">
        <f>'табл2 субаб и сторонние'!BT19</f>
        <v>-21.476637278888798</v>
      </c>
      <c r="AB22" s="102">
        <f t="shared" si="2"/>
        <v>36.175777589344122</v>
      </c>
    </row>
    <row r="23" spans="1:28" ht="15.75" x14ac:dyDescent="0.25">
      <c r="A23" s="103" t="s">
        <v>30</v>
      </c>
      <c r="B23" s="126">
        <v>2.8424</v>
      </c>
      <c r="C23" s="126">
        <v>1.496</v>
      </c>
      <c r="D23" s="126">
        <v>4.5672000000000006</v>
      </c>
      <c r="E23" s="126">
        <v>2.9656000000000002</v>
      </c>
      <c r="F23" s="126">
        <v>2.028</v>
      </c>
      <c r="G23" s="126">
        <v>1.4784000000000002</v>
      </c>
      <c r="H23" s="126">
        <v>2.3592</v>
      </c>
      <c r="I23" s="126">
        <v>1.5504000000000002</v>
      </c>
      <c r="J23" s="126">
        <v>5.440000000000001E-4</v>
      </c>
      <c r="K23" s="126">
        <v>0</v>
      </c>
      <c r="L23" s="127">
        <v>15.326900482177734</v>
      </c>
      <c r="M23" s="127">
        <v>6.3711514472961426</v>
      </c>
      <c r="N23" s="127">
        <v>-2.4981825351715088</v>
      </c>
      <c r="O23" s="114">
        <v>-2.0189714431762695</v>
      </c>
      <c r="P23" s="114">
        <v>-2.0189714431762695</v>
      </c>
      <c r="Q23" s="114">
        <v>-1.0291255712509155</v>
      </c>
      <c r="R23" s="114">
        <v>-23.86628532409668</v>
      </c>
      <c r="S23" s="114">
        <v>-7.6123867034912109</v>
      </c>
      <c r="T23" s="114">
        <v>16.238187789916992</v>
      </c>
      <c r="U23" s="114">
        <v>6.300447940826416</v>
      </c>
      <c r="V23" s="101">
        <f t="shared" si="6"/>
        <v>10.59124896965027</v>
      </c>
      <c r="W23" s="101"/>
      <c r="X23" s="101">
        <f t="shared" si="3"/>
        <v>4.3877439999999996</v>
      </c>
      <c r="Y23" s="101">
        <f t="shared" si="5"/>
        <v>14.978992969650269</v>
      </c>
      <c r="Z23" s="101">
        <f t="shared" si="4"/>
        <v>9.5015156702041637</v>
      </c>
      <c r="AA23" s="101">
        <f>'табл2 субаб и сторонние'!BT20</f>
        <v>-19.350831257112958</v>
      </c>
      <c r="AB23" s="102">
        <f t="shared" si="2"/>
        <v>34.329824226763229</v>
      </c>
    </row>
    <row r="24" spans="1:28" ht="15.75" x14ac:dyDescent="0.25">
      <c r="A24" s="104" t="s">
        <v>8</v>
      </c>
      <c r="B24" s="126">
        <v>2.7984</v>
      </c>
      <c r="C24" s="126">
        <v>1.4872000000000001</v>
      </c>
      <c r="D24" s="126">
        <v>4.4968000000000004</v>
      </c>
      <c r="E24" s="126">
        <v>2.9304000000000001</v>
      </c>
      <c r="F24" s="126">
        <v>1.9896</v>
      </c>
      <c r="G24" s="126">
        <v>1.4616</v>
      </c>
      <c r="H24" s="126">
        <v>2.5008000000000004</v>
      </c>
      <c r="I24" s="126">
        <v>1.5912000000000002</v>
      </c>
      <c r="J24" s="126">
        <v>5.4800000000000009E-4</v>
      </c>
      <c r="K24" s="126">
        <v>0</v>
      </c>
      <c r="L24" s="127">
        <v>14.502028465270996</v>
      </c>
      <c r="M24" s="127">
        <v>6.7089557647705078</v>
      </c>
      <c r="N24" s="127">
        <v>-2.5453181266784668</v>
      </c>
      <c r="O24" s="114">
        <v>-2.042539119720459</v>
      </c>
      <c r="P24" s="114">
        <v>-1.7990057468414307</v>
      </c>
      <c r="Q24" s="114">
        <v>-1.0448373556137085</v>
      </c>
      <c r="R24" s="114">
        <v>-22.821447372436523</v>
      </c>
      <c r="S24" s="114">
        <v>-8.4608259201049805</v>
      </c>
      <c r="T24" s="114">
        <v>14.989095687866211</v>
      </c>
      <c r="U24" s="114">
        <v>6.5596933364868164</v>
      </c>
      <c r="V24" s="101">
        <f t="shared" si="6"/>
        <v>9.6205529071807874</v>
      </c>
      <c r="W24" s="101"/>
      <c r="X24" s="101">
        <f t="shared" si="3"/>
        <v>4.4909480000000004</v>
      </c>
      <c r="Y24" s="101">
        <f t="shared" si="5"/>
        <v>14.111500907180787</v>
      </c>
      <c r="Z24" s="101">
        <f t="shared" si="4"/>
        <v>9.190846705818176</v>
      </c>
      <c r="AA24" s="101">
        <f>'табл2 субаб и сторонние'!BT21</f>
        <v>-18.025187224920781</v>
      </c>
      <c r="AB24" s="102">
        <f t="shared" si="2"/>
        <v>32.136688132101568</v>
      </c>
    </row>
    <row r="25" spans="1:28" ht="15.75" x14ac:dyDescent="0.25">
      <c r="A25" s="104" t="s">
        <v>9</v>
      </c>
      <c r="B25" s="126">
        <v>2.7632000000000003</v>
      </c>
      <c r="C25" s="126">
        <v>1.5312000000000001</v>
      </c>
      <c r="D25" s="126">
        <v>4.4880000000000004</v>
      </c>
      <c r="E25" s="126">
        <v>2.9304000000000001</v>
      </c>
      <c r="F25" s="126">
        <v>1.92</v>
      </c>
      <c r="G25" s="126">
        <v>1.4568000000000001</v>
      </c>
      <c r="H25" s="126">
        <v>2.5296000000000003</v>
      </c>
      <c r="I25" s="126">
        <v>1.6392</v>
      </c>
      <c r="J25" s="126">
        <v>5.6400000000000005E-4</v>
      </c>
      <c r="K25" s="126">
        <v>0</v>
      </c>
      <c r="L25" s="127">
        <v>12.490913391113281</v>
      </c>
      <c r="M25" s="127">
        <v>6.4497103691101074</v>
      </c>
      <c r="N25" s="127">
        <v>-2.7181484699249268</v>
      </c>
      <c r="O25" s="114">
        <v>-2.2546491622924805</v>
      </c>
      <c r="P25" s="114">
        <v>-1.7361583709716797</v>
      </c>
      <c r="Q25" s="114">
        <v>-1.0212695598602295</v>
      </c>
      <c r="R25" s="114">
        <v>-18.46141242980957</v>
      </c>
      <c r="S25" s="114">
        <v>-7.8873438835144043</v>
      </c>
      <c r="T25" s="114">
        <v>12.899420738220215</v>
      </c>
      <c r="U25" s="114">
        <v>6.6696763038635254</v>
      </c>
      <c r="V25" s="101">
        <f t="shared" si="6"/>
        <v>9.7258148586273201</v>
      </c>
      <c r="W25" s="101"/>
      <c r="X25" s="101">
        <f t="shared" si="3"/>
        <v>4.450164</v>
      </c>
      <c r="Y25" s="101">
        <f t="shared" si="5"/>
        <v>14.175978858627321</v>
      </c>
      <c r="Z25" s="101">
        <f t="shared" si="4"/>
        <v>9.5137240673065193</v>
      </c>
      <c r="AA25" s="101">
        <f>'табл2 субаб и сторонние'!BT22</f>
        <v>-13.688639947857929</v>
      </c>
      <c r="AB25" s="102">
        <f t="shared" si="2"/>
        <v>27.86461880648525</v>
      </c>
    </row>
    <row r="26" spans="1:28" ht="15.75" x14ac:dyDescent="0.25">
      <c r="A26" s="104" t="s">
        <v>10</v>
      </c>
      <c r="B26" s="126">
        <v>2.7456000000000005</v>
      </c>
      <c r="C26" s="126">
        <v>1.5928000000000002</v>
      </c>
      <c r="D26" s="126">
        <v>4.3648000000000007</v>
      </c>
      <c r="E26" s="126">
        <v>2.8688000000000002</v>
      </c>
      <c r="F26" s="126">
        <v>1.8696000000000002</v>
      </c>
      <c r="G26" s="126">
        <v>1.44</v>
      </c>
      <c r="H26" s="126">
        <v>2.3184</v>
      </c>
      <c r="I26" s="126">
        <v>1.5744</v>
      </c>
      <c r="J26" s="126">
        <v>5.9600000000000007E-4</v>
      </c>
      <c r="K26" s="126">
        <v>0</v>
      </c>
      <c r="L26" s="127">
        <v>12.475201606750488</v>
      </c>
      <c r="M26" s="127">
        <v>7.266726016998291</v>
      </c>
      <c r="N26" s="127">
        <v>-2.4431910514831543</v>
      </c>
      <c r="O26" s="114">
        <v>-2.1760897636413574</v>
      </c>
      <c r="P26" s="114">
        <v>-1.7047346830368042</v>
      </c>
      <c r="Q26" s="114">
        <v>-0.78559201955795288</v>
      </c>
      <c r="R26" s="114">
        <v>-17.353727340698242</v>
      </c>
      <c r="S26" s="114">
        <v>-8.6100883483886719</v>
      </c>
      <c r="T26" s="114">
        <v>12.640175819396973</v>
      </c>
      <c r="U26" s="114">
        <v>7.470980167388916</v>
      </c>
      <c r="V26" s="101">
        <f t="shared" si="6"/>
        <v>10.724124350929262</v>
      </c>
      <c r="W26" s="101"/>
      <c r="X26" s="101">
        <f t="shared" si="3"/>
        <v>4.1885960000000004</v>
      </c>
      <c r="Y26" s="101">
        <f t="shared" si="5"/>
        <v>14.912720350929263</v>
      </c>
      <c r="Z26" s="101">
        <f t="shared" si="4"/>
        <v>10.641936052799224</v>
      </c>
      <c r="AA26" s="101">
        <f>'табл2 субаб и сторонние'!BT23</f>
        <v>-12.207483033320312</v>
      </c>
      <c r="AB26" s="102">
        <f t="shared" si="2"/>
        <v>27.120203384249574</v>
      </c>
    </row>
    <row r="27" spans="1:28" ht="15.75" x14ac:dyDescent="0.25">
      <c r="A27" s="104" t="s">
        <v>11</v>
      </c>
      <c r="B27" s="126">
        <v>2.6840000000000002</v>
      </c>
      <c r="C27" s="126">
        <v>1.5575999999999999</v>
      </c>
      <c r="D27" s="126">
        <v>4.3823999999999996</v>
      </c>
      <c r="E27" s="126">
        <v>2.8952</v>
      </c>
      <c r="F27" s="126">
        <v>1.788</v>
      </c>
      <c r="G27" s="126">
        <v>1.4159999999999999</v>
      </c>
      <c r="H27" s="126">
        <v>2.0424000000000002</v>
      </c>
      <c r="I27" s="126">
        <v>1.4904000000000002</v>
      </c>
      <c r="J27" s="126">
        <v>6.2399999999999999E-4</v>
      </c>
      <c r="K27" s="126">
        <v>0</v>
      </c>
      <c r="L27" s="127">
        <v>15.381891250610352</v>
      </c>
      <c r="M27" s="127">
        <v>6.2690243721008301</v>
      </c>
      <c r="N27" s="127">
        <v>-2.2310812473297119</v>
      </c>
      <c r="O27" s="114">
        <v>-1.9247003793716431</v>
      </c>
      <c r="P27" s="114">
        <v>-1.4769129753112793</v>
      </c>
      <c r="Q27" s="114">
        <v>-0.94271039962768555</v>
      </c>
      <c r="R27" s="114">
        <v>-23.45777702331543</v>
      </c>
      <c r="S27" s="114">
        <v>-6.0019230842590332</v>
      </c>
      <c r="T27" s="114">
        <v>15.554721832275391</v>
      </c>
      <c r="U27" s="114">
        <v>6.1747531890869141</v>
      </c>
      <c r="V27" s="101">
        <f t="shared" si="6"/>
        <v>10.837241836929323</v>
      </c>
      <c r="W27" s="101"/>
      <c r="X27" s="101">
        <f t="shared" si="3"/>
        <v>3.8310240000000002</v>
      </c>
      <c r="Y27" s="101">
        <f t="shared" si="5"/>
        <v>14.668265836929322</v>
      </c>
      <c r="Z27" s="101">
        <f t="shared" si="4"/>
        <v>10.933643697929384</v>
      </c>
      <c r="AA27" s="101">
        <f>'табл2 субаб и сторонние'!BT24</f>
        <v>-17.970882446598118</v>
      </c>
      <c r="AB27" s="102">
        <f t="shared" si="2"/>
        <v>32.63914828352744</v>
      </c>
    </row>
    <row r="28" spans="1:28" ht="15.75" x14ac:dyDescent="0.25">
      <c r="A28" s="104" t="s">
        <v>12</v>
      </c>
      <c r="B28" s="126">
        <v>2.7191999999999998</v>
      </c>
      <c r="C28" s="126">
        <v>1.5312000000000001</v>
      </c>
      <c r="D28" s="126">
        <v>4.3296000000000001</v>
      </c>
      <c r="E28" s="126">
        <v>2.8336000000000001</v>
      </c>
      <c r="F28" s="126">
        <v>1.7328000000000001</v>
      </c>
      <c r="G28" s="126">
        <v>1.3895999999999999</v>
      </c>
      <c r="H28" s="126">
        <v>1.9248000000000001</v>
      </c>
      <c r="I28" s="126">
        <v>1.4568000000000003</v>
      </c>
      <c r="J28" s="126">
        <v>6.2399999999999999E-4</v>
      </c>
      <c r="K28" s="126">
        <v>0</v>
      </c>
      <c r="L28" s="127">
        <v>11.438220024108887</v>
      </c>
      <c r="M28" s="127">
        <v>6.0412025451660156</v>
      </c>
      <c r="N28" s="127">
        <v>-2.2389371395111084</v>
      </c>
      <c r="O28" s="114">
        <v>-1.9639800786972046</v>
      </c>
      <c r="P28" s="114">
        <v>-1.4140655994415283</v>
      </c>
      <c r="Q28" s="114">
        <v>-0.85629528760910034</v>
      </c>
      <c r="R28" s="114">
        <v>-17.966489791870117</v>
      </c>
      <c r="S28" s="114">
        <v>-5.8369488716125488</v>
      </c>
      <c r="T28" s="114">
        <v>11.940999031066895</v>
      </c>
      <c r="U28" s="114">
        <v>5.8133807182312012</v>
      </c>
      <c r="V28" s="101">
        <f t="shared" si="6"/>
        <v>8.8085265243530273</v>
      </c>
      <c r="W28" s="101"/>
      <c r="X28" s="101">
        <f t="shared" si="3"/>
        <v>3.6582240000000006</v>
      </c>
      <c r="Y28" s="101">
        <f t="shared" si="5"/>
        <v>12.466750524353028</v>
      </c>
      <c r="Z28" s="101">
        <f t="shared" si="4"/>
        <v>10.408559025478365</v>
      </c>
      <c r="AA28" s="101">
        <f>'табл2 субаб и сторонние'!BT25</f>
        <v>-12.831487083824861</v>
      </c>
      <c r="AB28" s="102">
        <f t="shared" si="2"/>
        <v>25.298237608177889</v>
      </c>
    </row>
    <row r="29" spans="1:28" ht="15.75" x14ac:dyDescent="0.25">
      <c r="A29" s="104" t="s">
        <v>13</v>
      </c>
      <c r="B29" s="126">
        <v>2.7280000000000002</v>
      </c>
      <c r="C29" s="126">
        <v>1.5224000000000002</v>
      </c>
      <c r="D29" s="126">
        <v>4.2943999999999996</v>
      </c>
      <c r="E29" s="126">
        <v>2.8248000000000002</v>
      </c>
      <c r="F29" s="126">
        <v>1.7064000000000001</v>
      </c>
      <c r="G29" s="126">
        <v>1.3800000000000001</v>
      </c>
      <c r="H29" s="126">
        <v>1.9080000000000001</v>
      </c>
      <c r="I29" s="126">
        <v>1.4376000000000002</v>
      </c>
      <c r="J29" s="126">
        <v>6.2399999999999999E-4</v>
      </c>
      <c r="K29" s="126">
        <v>0</v>
      </c>
      <c r="L29" s="127">
        <v>11.422508239746094</v>
      </c>
      <c r="M29" s="127">
        <v>4.9570856094360352</v>
      </c>
      <c r="N29" s="127">
        <v>-2.042539119720459</v>
      </c>
      <c r="O29" s="114">
        <v>-1.8854207992553711</v>
      </c>
      <c r="P29" s="114">
        <v>-1.3197945356369019</v>
      </c>
      <c r="Q29" s="114">
        <v>-0.73060059547424316</v>
      </c>
      <c r="R29" s="114">
        <v>-16.411016464233398</v>
      </c>
      <c r="S29" s="114">
        <v>-4.0065193176269531</v>
      </c>
      <c r="T29" s="114">
        <v>11.925286293029785</v>
      </c>
      <c r="U29" s="114">
        <v>5.0120768547058105</v>
      </c>
      <c r="V29" s="101">
        <f t="shared" si="6"/>
        <v>10.596844413185117</v>
      </c>
      <c r="W29" s="101"/>
      <c r="X29" s="101">
        <f t="shared" si="3"/>
        <v>3.6150240000000005</v>
      </c>
      <c r="Y29" s="101">
        <f t="shared" si="5"/>
        <v>14.211868413185117</v>
      </c>
      <c r="Z29" s="101">
        <f t="shared" si="4"/>
        <v>10.51142175178528</v>
      </c>
      <c r="AA29" s="101">
        <f>'табл2 субаб и сторонние'!BT26</f>
        <v>-10.898312810329262</v>
      </c>
      <c r="AB29" s="102">
        <f t="shared" si="2"/>
        <v>25.110181223514381</v>
      </c>
    </row>
    <row r="30" spans="1:28" ht="15.75" x14ac:dyDescent="0.25">
      <c r="A30" s="104" t="s">
        <v>14</v>
      </c>
      <c r="B30" s="126">
        <v>2.7720000000000002</v>
      </c>
      <c r="C30" s="126">
        <v>1.5664</v>
      </c>
      <c r="D30" s="126">
        <v>4.2856000000000005</v>
      </c>
      <c r="E30" s="126">
        <v>2.86</v>
      </c>
      <c r="F30" s="126">
        <v>1.7112000000000001</v>
      </c>
      <c r="G30" s="126">
        <v>1.3895999999999999</v>
      </c>
      <c r="H30" s="126">
        <v>1.9344000000000001</v>
      </c>
      <c r="I30" s="126">
        <v>1.44</v>
      </c>
      <c r="J30" s="126">
        <v>6.2799999999999998E-4</v>
      </c>
      <c r="K30" s="126">
        <v>0</v>
      </c>
      <c r="L30" s="127">
        <v>12.333794593811035</v>
      </c>
      <c r="M30" s="127">
        <v>4.6192808151245117</v>
      </c>
      <c r="N30" s="127">
        <v>-2.183945894241333</v>
      </c>
      <c r="O30" s="114">
        <v>-2.011115550994873</v>
      </c>
      <c r="P30" s="114">
        <v>-1.9796918630599976</v>
      </c>
      <c r="Q30" s="114">
        <v>-0.98984593152999878</v>
      </c>
      <c r="R30" s="114">
        <v>-18.272871017456055</v>
      </c>
      <c r="S30" s="114">
        <v>-2.6867246627807617</v>
      </c>
      <c r="T30" s="114">
        <v>12.483057022094727</v>
      </c>
      <c r="U30" s="114">
        <v>4.4071712493896484</v>
      </c>
      <c r="V30" s="101">
        <f t="shared" si="6"/>
        <v>9.4379428411483772</v>
      </c>
      <c r="W30" s="101"/>
      <c r="X30" s="101">
        <f t="shared" si="3"/>
        <v>3.6462279999999998</v>
      </c>
      <c r="Y30" s="101">
        <f t="shared" si="5"/>
        <v>13.084170841148378</v>
      </c>
      <c r="Z30" s="101">
        <f t="shared" si="4"/>
        <v>10.594765919208527</v>
      </c>
      <c r="AA30" s="101">
        <f>'табл2 субаб и сторонние'!BT27</f>
        <v>-13.656291757555749</v>
      </c>
      <c r="AB30" s="102">
        <f t="shared" si="2"/>
        <v>26.740462598704127</v>
      </c>
    </row>
    <row r="31" spans="1:28" ht="15.75" x14ac:dyDescent="0.25">
      <c r="A31" s="104" t="s">
        <v>15</v>
      </c>
      <c r="B31" s="126">
        <v>2.7544</v>
      </c>
      <c r="C31" s="126">
        <v>1.5928000000000002</v>
      </c>
      <c r="D31" s="126">
        <v>4.3296000000000001</v>
      </c>
      <c r="E31" s="126">
        <v>2.9215999999999998</v>
      </c>
      <c r="F31" s="126">
        <v>1.6872</v>
      </c>
      <c r="G31" s="126">
        <v>1.3968000000000003</v>
      </c>
      <c r="H31" s="126">
        <v>1.9488000000000003</v>
      </c>
      <c r="I31" s="126">
        <v>1.4232</v>
      </c>
      <c r="J31" s="126">
        <v>6.2799999999999998E-4</v>
      </c>
      <c r="K31" s="126">
        <v>0</v>
      </c>
      <c r="L31" s="127">
        <v>12.082405090332031</v>
      </c>
      <c r="M31" s="127">
        <v>7.9737586975097656</v>
      </c>
      <c r="N31" s="127">
        <v>-2.3017845153808594</v>
      </c>
      <c r="O31" s="114">
        <v>-2.0975306034088135</v>
      </c>
      <c r="P31" s="114">
        <v>-1.4140655994415283</v>
      </c>
      <c r="Q31" s="114">
        <v>-0.87986302375793457</v>
      </c>
      <c r="R31" s="114">
        <v>-17.832939147949219</v>
      </c>
      <c r="S31" s="114">
        <v>-9.9534511566162109</v>
      </c>
      <c r="T31" s="114">
        <v>12.160964012145996</v>
      </c>
      <c r="U31" s="114">
        <v>8.2094364166259766</v>
      </c>
      <c r="V31" s="101">
        <f t="shared" si="6"/>
        <v>9.7785798397064205</v>
      </c>
      <c r="W31" s="101"/>
      <c r="X31" s="101">
        <f t="shared" si="3"/>
        <v>3.636628</v>
      </c>
      <c r="Y31" s="101">
        <f t="shared" si="5"/>
        <v>13.415207839706421</v>
      </c>
      <c r="Z31" s="101">
        <f t="shared" si="4"/>
        <v>10.586750330352784</v>
      </c>
      <c r="AA31" s="101">
        <f>'табл2 субаб и сторонние'!BT28</f>
        <v>-12.581221922594127</v>
      </c>
      <c r="AB31" s="102">
        <f t="shared" si="2"/>
        <v>25.996429762300547</v>
      </c>
    </row>
    <row r="32" spans="1:28" ht="15.75" x14ac:dyDescent="0.25">
      <c r="A32" s="104" t="s">
        <v>16</v>
      </c>
      <c r="B32" s="126">
        <v>2.6928000000000001</v>
      </c>
      <c r="C32" s="126">
        <v>1.5928000000000002</v>
      </c>
      <c r="D32" s="126">
        <v>4.3120000000000003</v>
      </c>
      <c r="E32" s="126">
        <v>2.9128000000000003</v>
      </c>
      <c r="F32" s="126">
        <v>1.7064000000000001</v>
      </c>
      <c r="G32" s="126">
        <v>1.4159999999999999</v>
      </c>
      <c r="H32" s="126">
        <v>1.9392</v>
      </c>
      <c r="I32" s="126">
        <v>1.4376000000000002</v>
      </c>
      <c r="J32" s="126">
        <v>6.2399999999999999E-4</v>
      </c>
      <c r="K32" s="126">
        <v>0</v>
      </c>
      <c r="L32" s="127">
        <v>11.422508239746094</v>
      </c>
      <c r="M32" s="127">
        <v>7.6202425956726074</v>
      </c>
      <c r="N32" s="127">
        <v>-1.9639800786972046</v>
      </c>
      <c r="O32" s="114">
        <v>-1.9011327028274536</v>
      </c>
      <c r="P32" s="114">
        <v>-1.5633281469345093</v>
      </c>
      <c r="Q32" s="114">
        <v>-0.78559201955795288</v>
      </c>
      <c r="R32" s="114">
        <v>-16.104637145996094</v>
      </c>
      <c r="S32" s="114">
        <v>-9.5999345779418945</v>
      </c>
      <c r="T32" s="114">
        <v>11.163262367248535</v>
      </c>
      <c r="U32" s="114">
        <v>7.7380814552307129</v>
      </c>
      <c r="V32" s="101">
        <f t="shared" si="6"/>
        <v>9.9586252353668208</v>
      </c>
      <c r="W32" s="101"/>
      <c r="X32" s="101">
        <f t="shared" si="3"/>
        <v>3.6462240000000001</v>
      </c>
      <c r="Y32" s="101">
        <f t="shared" si="5"/>
        <v>13.604849235366821</v>
      </c>
      <c r="Z32" s="101">
        <f t="shared" si="4"/>
        <v>10.430864750576019</v>
      </c>
      <c r="AA32" s="101">
        <f>'табл2 субаб и сторонние'!BT29</f>
        <v>-10.809060493594773</v>
      </c>
      <c r="AB32" s="102">
        <f t="shared" si="2"/>
        <v>24.413909728961592</v>
      </c>
    </row>
    <row r="33" spans="1:28" ht="15.75" x14ac:dyDescent="0.25">
      <c r="A33" s="104" t="s">
        <v>17</v>
      </c>
      <c r="B33" s="126">
        <v>2.6048000000000004</v>
      </c>
      <c r="C33" s="126">
        <v>1.6015999999999999</v>
      </c>
      <c r="D33" s="126">
        <v>4.2943999999999996</v>
      </c>
      <c r="E33" s="126">
        <v>2.948</v>
      </c>
      <c r="F33" s="126">
        <v>1.6992</v>
      </c>
      <c r="G33" s="126">
        <v>1.4304000000000001</v>
      </c>
      <c r="H33" s="126">
        <v>2.004</v>
      </c>
      <c r="I33" s="126">
        <v>1.5024000000000002</v>
      </c>
      <c r="J33" s="126">
        <v>6.2799999999999998E-4</v>
      </c>
      <c r="K33" s="126">
        <v>0</v>
      </c>
      <c r="L33" s="127">
        <v>6.4182868003845215</v>
      </c>
      <c r="M33" s="127">
        <v>11.689609527587891</v>
      </c>
      <c r="N33" s="127">
        <v>-2.0975306034088135</v>
      </c>
      <c r="O33" s="114">
        <v>-1.8932766914367676</v>
      </c>
      <c r="P33" s="114">
        <v>-1.5004807710647583</v>
      </c>
      <c r="Q33" s="114">
        <v>-0.76988017559051514</v>
      </c>
      <c r="R33" s="114">
        <v>-6.2768802642822266</v>
      </c>
      <c r="S33" s="114">
        <v>-17.597261428833008</v>
      </c>
      <c r="T33" s="114">
        <v>6.8974976539611816</v>
      </c>
      <c r="U33" s="114">
        <v>11.713176727294922</v>
      </c>
      <c r="V33" s="101">
        <f t="shared" si="6"/>
        <v>10.340092815589905</v>
      </c>
      <c r="W33" s="101"/>
      <c r="X33" s="101">
        <f t="shared" si="3"/>
        <v>3.7038279999999997</v>
      </c>
      <c r="Y33" s="101">
        <f t="shared" si="5"/>
        <v>14.043920815589905</v>
      </c>
      <c r="Z33" s="101">
        <f t="shared" si="4"/>
        <v>10.62476795902252</v>
      </c>
      <c r="AA33" s="101">
        <f>'табл2 субаб и сторонние'!BT30</f>
        <v>-1.093220159549162</v>
      </c>
      <c r="AB33" s="102">
        <f t="shared" si="2"/>
        <v>15.137140975139067</v>
      </c>
    </row>
    <row r="34" spans="1:28" ht="15.75" x14ac:dyDescent="0.25">
      <c r="A34" s="104" t="s">
        <v>18</v>
      </c>
      <c r="B34" s="126">
        <v>2.5960000000000001</v>
      </c>
      <c r="C34" s="126">
        <v>1.6456</v>
      </c>
      <c r="D34" s="126">
        <v>4.3031999999999995</v>
      </c>
      <c r="E34" s="126">
        <v>2.9656000000000002</v>
      </c>
      <c r="F34" s="126">
        <v>1.7064000000000001</v>
      </c>
      <c r="G34" s="126">
        <v>1.4616</v>
      </c>
      <c r="H34" s="126">
        <v>1.9776</v>
      </c>
      <c r="I34" s="126">
        <v>1.4904000000000002</v>
      </c>
      <c r="J34" s="126">
        <v>6.2799999999999998E-4</v>
      </c>
      <c r="K34" s="126">
        <v>0</v>
      </c>
      <c r="L34" s="127">
        <v>8.6179447174072266</v>
      </c>
      <c r="M34" s="127">
        <v>11.006144523620605</v>
      </c>
      <c r="N34" s="127">
        <v>-2.0189714431762695</v>
      </c>
      <c r="O34" s="114">
        <v>-1.8068616390228271</v>
      </c>
      <c r="P34" s="114">
        <v>-1.4769129753112793</v>
      </c>
      <c r="Q34" s="114">
        <v>-0.78559201955795288</v>
      </c>
      <c r="R34" s="114">
        <v>-10.825457572937012</v>
      </c>
      <c r="S34" s="114">
        <v>-16.340312957763672</v>
      </c>
      <c r="T34" s="114">
        <v>8.7122154235839844</v>
      </c>
      <c r="U34" s="114">
        <v>11.139695167541504</v>
      </c>
      <c r="V34" s="101">
        <f t="shared" si="6"/>
        <v>9.9080181495666508</v>
      </c>
      <c r="W34" s="101"/>
      <c r="X34" s="101">
        <f t="shared" si="3"/>
        <v>3.684628</v>
      </c>
      <c r="Y34" s="101">
        <f t="shared" si="5"/>
        <v>13.592646149566651</v>
      </c>
      <c r="Z34" s="101">
        <f t="shared" si="4"/>
        <v>10.776273074817659</v>
      </c>
      <c r="AA34" s="101">
        <f>'табл2 субаб и сторонние'!BT31</f>
        <v>-5.7848756484001083</v>
      </c>
      <c r="AB34" s="102">
        <f t="shared" si="2"/>
        <v>19.377521797966757</v>
      </c>
    </row>
    <row r="35" spans="1:28" x14ac:dyDescent="0.25">
      <c r="A35" s="105" t="s">
        <v>19</v>
      </c>
      <c r="B35" s="128">
        <f>SUM(B10:B34)</f>
        <v>65.935199999999995</v>
      </c>
      <c r="C35" s="128">
        <f>SUM(C10:C34)</f>
        <v>39.232799999999997</v>
      </c>
      <c r="D35" s="128">
        <f>SUM(D10:D34)</f>
        <v>105.5376</v>
      </c>
      <c r="E35" s="128">
        <f>SUM(E10:E34)</f>
        <v>71.231999999999985</v>
      </c>
      <c r="F35" s="128">
        <f t="shared" ref="F35:M35" si="7">SUM(F10:F34)</f>
        <v>48.49519999999999</v>
      </c>
      <c r="G35" s="128">
        <f t="shared" si="7"/>
        <v>40.718399999999995</v>
      </c>
      <c r="H35" s="128">
        <f t="shared" si="7"/>
        <v>58.059999999999995</v>
      </c>
      <c r="I35" s="128">
        <f t="shared" si="7"/>
        <v>44.400800000000004</v>
      </c>
      <c r="J35" s="128">
        <f t="shared" si="7"/>
        <v>9.0146200000000061</v>
      </c>
      <c r="K35" s="128">
        <f t="shared" si="7"/>
        <v>10</v>
      </c>
      <c r="L35" s="128">
        <f t="shared" si="7"/>
        <v>302.7610182762146</v>
      </c>
      <c r="M35" s="128">
        <f t="shared" si="7"/>
        <v>230.63025760650635</v>
      </c>
      <c r="N35" s="128">
        <f>SUM(N11:N34)</f>
        <v>-53.506671667098999</v>
      </c>
      <c r="O35" s="82">
        <f>SUM(O10:O34)</f>
        <v>-34.125366687774658</v>
      </c>
      <c r="P35" s="82">
        <f>SUM(P10:P34)</f>
        <v>-24.083202838897705</v>
      </c>
      <c r="Q35" s="82">
        <f>SUM(Q10:Q34)</f>
        <v>-5.9023052453994662</v>
      </c>
      <c r="R35" s="82">
        <f>SUM(R10:R34)</f>
        <v>-407.93457412719727</v>
      </c>
      <c r="S35" s="82">
        <f>SUM(S10:S34)</f>
        <v>-282.2689790725708</v>
      </c>
      <c r="T35" s="82">
        <f t="shared" ref="T35:U35" si="8">SUM(T10:T34)</f>
        <v>316.90434837341309</v>
      </c>
      <c r="U35" s="82">
        <f t="shared" si="8"/>
        <v>240.99488925933838</v>
      </c>
      <c r="V35" s="82">
        <f t="shared" ref="V35:Z35" si="9">SUM(V11:V34)</f>
        <v>239.61371801643372</v>
      </c>
      <c r="W35" s="82">
        <f t="shared" si="9"/>
        <v>0</v>
      </c>
      <c r="X35" s="82">
        <f t="shared" si="9"/>
        <v>94.569820000000021</v>
      </c>
      <c r="Y35" s="82">
        <f t="shared" si="9"/>
        <v>334.18353801643372</v>
      </c>
      <c r="Z35" s="82">
        <f t="shared" si="9"/>
        <v>244.9124958600998</v>
      </c>
      <c r="AA35" s="82">
        <f>SUM(AA11:AA34)</f>
        <v>-304.97405917955086</v>
      </c>
      <c r="AB35" s="82">
        <f>SUM(AB11:AB34)</f>
        <v>639.15759719598452</v>
      </c>
    </row>
    <row r="36" spans="1:28" x14ac:dyDescent="0.2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8"/>
    </row>
    <row r="37" spans="1:28" ht="15.75" x14ac:dyDescent="0.25">
      <c r="A37" s="109" t="s">
        <v>31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</row>
    <row r="38" spans="1:28" ht="15.75" thickBot="1" x14ac:dyDescent="0.3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2"/>
    </row>
  </sheetData>
  <mergeCells count="34">
    <mergeCell ref="T3:T9"/>
    <mergeCell ref="U3:U9"/>
    <mergeCell ref="R3:R9"/>
    <mergeCell ref="S3:S9"/>
    <mergeCell ref="Z3:Z9"/>
    <mergeCell ref="X5:X9"/>
    <mergeCell ref="Y3:Y5"/>
    <mergeCell ref="V5:V9"/>
    <mergeCell ref="W5:W9"/>
    <mergeCell ref="Y8:Y9"/>
    <mergeCell ref="J3:J9"/>
    <mergeCell ref="L3:L9"/>
    <mergeCell ref="P3:P9"/>
    <mergeCell ref="Q3:Q9"/>
    <mergeCell ref="K3:K9"/>
    <mergeCell ref="M3:M9"/>
    <mergeCell ref="N3:N9"/>
    <mergeCell ref="O3:O9"/>
    <mergeCell ref="A1:AB1"/>
    <mergeCell ref="A2:B2"/>
    <mergeCell ref="D2:J2"/>
    <mergeCell ref="V2:AB2"/>
    <mergeCell ref="A3:A9"/>
    <mergeCell ref="B3:B9"/>
    <mergeCell ref="AA3:AA9"/>
    <mergeCell ref="AB3:AB9"/>
    <mergeCell ref="D3:D9"/>
    <mergeCell ref="F3:F9"/>
    <mergeCell ref="C3:C9"/>
    <mergeCell ref="E3:E9"/>
    <mergeCell ref="V3:X4"/>
    <mergeCell ref="G3:G9"/>
    <mergeCell ref="I3:I9"/>
    <mergeCell ref="H3:H9"/>
  </mergeCells>
  <phoneticPr fontId="16" type="noConversion"/>
  <pageMargins left="0.23622047244094491" right="0.23622047244094491" top="0.74803149606299213" bottom="0.74803149606299213" header="0.31496062992125984" footer="0.31496062992125984"/>
  <pageSetup paperSize="8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0"/>
  <sheetViews>
    <sheetView topLeftCell="A13" zoomScaleSheetLayoutView="80" workbookViewId="0">
      <selection activeCell="B3" sqref="B3:K3"/>
    </sheetView>
  </sheetViews>
  <sheetFormatPr defaultRowHeight="15" x14ac:dyDescent="0.25"/>
  <cols>
    <col min="1" max="1" width="3.140625" customWidth="1"/>
    <col min="2" max="2" width="8.5703125" customWidth="1"/>
    <col min="3" max="3" width="8.7109375" customWidth="1"/>
    <col min="4" max="5" width="8" customWidth="1"/>
    <col min="7" max="7" width="8.7109375" customWidth="1"/>
    <col min="8" max="8" width="10.5703125" customWidth="1"/>
    <col min="9" max="9" width="12" customWidth="1"/>
    <col min="10" max="10" width="8" customWidth="1"/>
    <col min="11" max="11" width="12.7109375" customWidth="1"/>
  </cols>
  <sheetData>
    <row r="1" spans="2:11" ht="27.75" customHeight="1" thickBot="1" x14ac:dyDescent="0.3"/>
    <row r="2" spans="2:11" ht="41.25" customHeight="1" x14ac:dyDescent="0.25">
      <c r="B2" s="299" t="s">
        <v>33</v>
      </c>
      <c r="C2" s="300"/>
      <c r="D2" s="300"/>
      <c r="E2" s="300"/>
      <c r="F2" s="300"/>
      <c r="G2" s="300"/>
      <c r="H2" s="64"/>
      <c r="I2" s="313" t="s">
        <v>269</v>
      </c>
      <c r="J2" s="313"/>
      <c r="K2" s="314"/>
    </row>
    <row r="3" spans="2:11" s="18" customFormat="1" ht="39.75" customHeight="1" x14ac:dyDescent="0.25">
      <c r="B3" s="315" t="s">
        <v>226</v>
      </c>
      <c r="C3" s="316"/>
      <c r="D3" s="316"/>
      <c r="E3" s="316"/>
      <c r="F3" s="316"/>
      <c r="G3" s="316"/>
      <c r="H3" s="316"/>
      <c r="I3" s="316"/>
      <c r="J3" s="316"/>
      <c r="K3" s="317"/>
    </row>
    <row r="4" spans="2:11" s="18" customFormat="1" ht="37.5" customHeight="1" x14ac:dyDescent="0.25">
      <c r="B4" s="318" t="s">
        <v>227</v>
      </c>
      <c r="C4" s="319"/>
      <c r="D4" s="319"/>
      <c r="E4" s="319"/>
      <c r="F4" s="319"/>
      <c r="G4" s="319"/>
      <c r="H4" s="319"/>
      <c r="I4" s="319"/>
      <c r="J4" s="319"/>
      <c r="K4" s="320"/>
    </row>
    <row r="5" spans="2:11" ht="35.25" customHeight="1" x14ac:dyDescent="0.25">
      <c r="B5" s="301" t="s">
        <v>0</v>
      </c>
      <c r="C5" s="321" t="s">
        <v>34</v>
      </c>
      <c r="D5" s="321"/>
      <c r="E5" s="321" t="s">
        <v>51</v>
      </c>
      <c r="F5" s="321"/>
      <c r="G5" s="321"/>
      <c r="H5" s="321"/>
      <c r="I5" s="308" t="s">
        <v>52</v>
      </c>
      <c r="J5" s="309"/>
      <c r="K5" s="304" t="s">
        <v>127</v>
      </c>
    </row>
    <row r="6" spans="2:11" ht="37.5" customHeight="1" x14ac:dyDescent="0.25">
      <c r="B6" s="302"/>
      <c r="C6" s="321"/>
      <c r="D6" s="321"/>
      <c r="E6" s="321"/>
      <c r="F6" s="321"/>
      <c r="G6" s="321"/>
      <c r="H6" s="321"/>
      <c r="I6" s="310"/>
      <c r="J6" s="311"/>
      <c r="K6" s="305"/>
    </row>
    <row r="7" spans="2:11" ht="36" x14ac:dyDescent="0.25">
      <c r="B7" s="302"/>
      <c r="C7" s="312" t="s">
        <v>35</v>
      </c>
      <c r="D7" s="312" t="s">
        <v>36</v>
      </c>
      <c r="E7" s="312" t="s">
        <v>37</v>
      </c>
      <c r="F7" s="328" t="s">
        <v>38</v>
      </c>
      <c r="G7" s="312" t="s">
        <v>39</v>
      </c>
      <c r="H7" s="306" t="s">
        <v>48</v>
      </c>
      <c r="I7" s="2" t="s">
        <v>49</v>
      </c>
      <c r="J7" s="2" t="s">
        <v>50</v>
      </c>
      <c r="K7" s="65"/>
    </row>
    <row r="8" spans="2:11" ht="14.25" customHeight="1" x14ac:dyDescent="0.25">
      <c r="B8" s="303"/>
      <c r="C8" s="312"/>
      <c r="D8" s="312"/>
      <c r="E8" s="312"/>
      <c r="F8" s="328"/>
      <c r="G8" s="312"/>
      <c r="H8" s="307"/>
      <c r="I8" s="2" t="s">
        <v>53</v>
      </c>
      <c r="J8" s="2" t="s">
        <v>54</v>
      </c>
      <c r="K8" s="66"/>
    </row>
    <row r="9" spans="2:11" ht="25.5" customHeight="1" x14ac:dyDescent="0.25">
      <c r="B9" s="67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4" t="s">
        <v>40</v>
      </c>
      <c r="J9" s="1">
        <v>8</v>
      </c>
      <c r="K9" s="68">
        <v>9</v>
      </c>
    </row>
    <row r="10" spans="2:11" ht="15.75" x14ac:dyDescent="0.25">
      <c r="B10" s="56" t="s">
        <v>7</v>
      </c>
      <c r="C10" s="83">
        <v>48.617199999999997</v>
      </c>
      <c r="D10" s="5"/>
      <c r="E10" s="5"/>
      <c r="F10" s="5"/>
      <c r="G10" s="5"/>
      <c r="H10" s="5"/>
      <c r="I10" s="5">
        <f>SUM(C10:H10)</f>
        <v>48.617199999999997</v>
      </c>
      <c r="J10" s="5">
        <f>'Ведомость учета'!Z11</f>
        <v>10.571550687980665</v>
      </c>
      <c r="K10" s="69">
        <f>'Ведомость учета'!AA11</f>
        <v>-2.8415254624585131</v>
      </c>
    </row>
    <row r="11" spans="2:11" ht="15.75" x14ac:dyDescent="0.25">
      <c r="B11" s="56" t="s">
        <v>20</v>
      </c>
      <c r="C11" s="83">
        <v>46.747199999999999</v>
      </c>
      <c r="D11" s="5"/>
      <c r="E11" s="5"/>
      <c r="F11" s="5"/>
      <c r="G11" s="5"/>
      <c r="H11" s="5"/>
      <c r="I11" s="5">
        <f t="shared" ref="I11:I33" si="0">SUM(C11:H11)</f>
        <v>46.747199999999999</v>
      </c>
      <c r="J11" s="5">
        <f>'Ведомость учета'!Z12</f>
        <v>10.709964905929567</v>
      </c>
      <c r="K11" s="69">
        <f>'Ведомость учета'!AA12</f>
        <v>-1.5034822913145227</v>
      </c>
    </row>
    <row r="12" spans="2:11" ht="15.75" x14ac:dyDescent="0.25">
      <c r="B12" s="56" t="s">
        <v>21</v>
      </c>
      <c r="C12" s="83">
        <v>43.977599999999995</v>
      </c>
      <c r="D12" s="5"/>
      <c r="E12" s="5"/>
      <c r="F12" s="5"/>
      <c r="G12" s="5"/>
      <c r="H12" s="5"/>
      <c r="I12" s="5">
        <f t="shared" si="0"/>
        <v>43.977599999999995</v>
      </c>
      <c r="J12" s="5">
        <f>'Ведомость учета'!Z13</f>
        <v>10.766556508827207</v>
      </c>
      <c r="K12" s="69">
        <f>'Ведомость учета'!AA13</f>
        <v>-1.4776669154554973</v>
      </c>
    </row>
    <row r="13" spans="2:11" ht="15.75" x14ac:dyDescent="0.25">
      <c r="B13" s="56" t="s">
        <v>22</v>
      </c>
      <c r="C13" s="83">
        <v>44.384399999999999</v>
      </c>
      <c r="D13" s="5"/>
      <c r="E13" s="5"/>
      <c r="F13" s="5"/>
      <c r="G13" s="5"/>
      <c r="H13" s="5"/>
      <c r="I13" s="5">
        <f t="shared" si="0"/>
        <v>44.384399999999999</v>
      </c>
      <c r="J13" s="5">
        <f>'Ведомость учета'!Z14</f>
        <v>11.129385467910765</v>
      </c>
      <c r="K13" s="69">
        <f>'Ведомость учета'!AA14</f>
        <v>-3.2888083507438299</v>
      </c>
    </row>
    <row r="14" spans="2:11" ht="15.75" x14ac:dyDescent="0.25">
      <c r="B14" s="56" t="s">
        <v>23</v>
      </c>
      <c r="C14" s="83">
        <v>48.674599999999998</v>
      </c>
      <c r="D14" s="5"/>
      <c r="E14" s="5"/>
      <c r="F14" s="5"/>
      <c r="G14" s="5"/>
      <c r="H14" s="5"/>
      <c r="I14" s="5">
        <f t="shared" si="0"/>
        <v>48.674599999999998</v>
      </c>
      <c r="J14" s="5">
        <f>'Ведомость учета'!Z15</f>
        <v>10.664078597640991</v>
      </c>
      <c r="K14" s="69">
        <f>'Ведомость учета'!AA15</f>
        <v>-13.497729318557845</v>
      </c>
    </row>
    <row r="15" spans="2:11" ht="15.75" x14ac:dyDescent="0.25">
      <c r="B15" s="56" t="s">
        <v>24</v>
      </c>
      <c r="C15" s="83">
        <v>55.9696</v>
      </c>
      <c r="D15" s="5"/>
      <c r="E15" s="5"/>
      <c r="F15" s="5"/>
      <c r="G15" s="5"/>
      <c r="H15" s="5"/>
      <c r="I15" s="5">
        <f t="shared" si="0"/>
        <v>55.9696</v>
      </c>
      <c r="J15" s="5">
        <f>'Ведомость учета'!Z16</f>
        <v>10.142851009464263</v>
      </c>
      <c r="K15" s="69">
        <f>'Ведомость учета'!AA16</f>
        <v>-18.286585724821776</v>
      </c>
    </row>
    <row r="16" spans="2:11" ht="15.75" x14ac:dyDescent="0.25">
      <c r="B16" s="56" t="s">
        <v>25</v>
      </c>
      <c r="C16" s="83">
        <v>66.6066</v>
      </c>
      <c r="D16" s="5"/>
      <c r="E16" s="5"/>
      <c r="F16" s="5"/>
      <c r="G16" s="5"/>
      <c r="H16" s="5"/>
      <c r="I16" s="5">
        <f t="shared" si="0"/>
        <v>66.6066</v>
      </c>
      <c r="J16" s="5">
        <f>'Ведомость учета'!Z17</f>
        <v>9.3521203453063961</v>
      </c>
      <c r="K16" s="69">
        <f>'Ведомость учета'!AA17</f>
        <v>-21.800707122865155</v>
      </c>
    </row>
    <row r="17" spans="2:11" ht="15.75" x14ac:dyDescent="0.25">
      <c r="B17" s="56" t="s">
        <v>26</v>
      </c>
      <c r="C17" s="83">
        <v>73.461200000000005</v>
      </c>
      <c r="D17" s="5"/>
      <c r="E17" s="5"/>
      <c r="F17" s="5"/>
      <c r="G17" s="5"/>
      <c r="H17" s="5"/>
      <c r="I17" s="5">
        <f t="shared" si="0"/>
        <v>73.461200000000005</v>
      </c>
      <c r="J17" s="5">
        <f>'Ведомость учета'!Z18</f>
        <v>10.001666611576081</v>
      </c>
      <c r="K17" s="69">
        <f>'Ведомость учета'!AA18</f>
        <v>-21.304142294255438</v>
      </c>
    </row>
    <row r="18" spans="2:11" ht="15.75" x14ac:dyDescent="0.25">
      <c r="B18" s="56" t="s">
        <v>27</v>
      </c>
      <c r="C18" s="83">
        <v>68.746200000000002</v>
      </c>
      <c r="D18" s="5"/>
      <c r="E18" s="5"/>
      <c r="F18" s="5"/>
      <c r="G18" s="5"/>
      <c r="H18" s="5"/>
      <c r="I18" s="5">
        <f t="shared" si="0"/>
        <v>68.746200000000002</v>
      </c>
      <c r="J18" s="5">
        <f>'Ведомость учета'!Z19</f>
        <v>10.306754708004</v>
      </c>
      <c r="K18" s="69">
        <f>'Ведомость учета'!AA19</f>
        <v>-17.718965737369615</v>
      </c>
    </row>
    <row r="19" spans="2:11" ht="15.75" x14ac:dyDescent="0.25">
      <c r="B19" s="56" t="s">
        <v>32</v>
      </c>
      <c r="C19" s="83">
        <v>53.839399999999998</v>
      </c>
      <c r="D19" s="5"/>
      <c r="E19" s="5"/>
      <c r="F19" s="5"/>
      <c r="G19" s="5"/>
      <c r="H19" s="5"/>
      <c r="I19" s="5">
        <f t="shared" si="0"/>
        <v>53.839399999999998</v>
      </c>
      <c r="J19" s="5">
        <f>'Ведомость учета'!Z20</f>
        <v>9.632886101245882</v>
      </c>
      <c r="K19" s="69">
        <f>'Ведомость учета'!AA20</f>
        <v>-15.373311420383251</v>
      </c>
    </row>
    <row r="20" spans="2:11" ht="15.75" x14ac:dyDescent="0.25">
      <c r="B20" s="56" t="s">
        <v>28</v>
      </c>
      <c r="C20" s="83">
        <v>51.672000000000004</v>
      </c>
      <c r="D20" s="5"/>
      <c r="E20" s="5"/>
      <c r="F20" s="5"/>
      <c r="G20" s="5"/>
      <c r="H20" s="5"/>
      <c r="I20" s="5">
        <f t="shared" si="0"/>
        <v>51.672000000000004</v>
      </c>
      <c r="J20" s="5">
        <f>'Ведомость учета'!Z21</f>
        <v>8.7521240077018749</v>
      </c>
      <c r="K20" s="69">
        <f>'Ведомость учета'!AA21</f>
        <v>-17.507003476778472</v>
      </c>
    </row>
    <row r="21" spans="2:11" ht="15.75" x14ac:dyDescent="0.25">
      <c r="B21" s="56" t="s">
        <v>29</v>
      </c>
      <c r="C21" s="83">
        <v>56.333800000000004</v>
      </c>
      <c r="D21" s="5"/>
      <c r="E21" s="5"/>
      <c r="F21" s="5"/>
      <c r="G21" s="5"/>
      <c r="H21" s="5"/>
      <c r="I21" s="5">
        <f t="shared" si="0"/>
        <v>56.333800000000004</v>
      </c>
      <c r="J21" s="5">
        <f>'Ведомость учета'!Z22</f>
        <v>9.1674879032134999</v>
      </c>
      <c r="K21" s="69">
        <f>'Ведомость учета'!AA22</f>
        <v>-21.476637278888798</v>
      </c>
    </row>
    <row r="22" spans="2:11" ht="15.75" x14ac:dyDescent="0.25">
      <c r="B22" s="56" t="s">
        <v>30</v>
      </c>
      <c r="C22" s="83">
        <v>56.905799999999999</v>
      </c>
      <c r="D22" s="5"/>
      <c r="E22" s="5"/>
      <c r="F22" s="5"/>
      <c r="G22" s="5"/>
      <c r="H22" s="5"/>
      <c r="I22" s="5">
        <f t="shared" si="0"/>
        <v>56.905799999999999</v>
      </c>
      <c r="J22" s="5">
        <f>'Ведомость учета'!Z23</f>
        <v>9.5015156702041637</v>
      </c>
      <c r="K22" s="69">
        <f>'Ведомость учета'!AA23</f>
        <v>-19.350831257112958</v>
      </c>
    </row>
    <row r="23" spans="2:11" ht="15.75" x14ac:dyDescent="0.25">
      <c r="B23" s="55" t="s">
        <v>8</v>
      </c>
      <c r="C23" s="83">
        <v>53.102000000000004</v>
      </c>
      <c r="D23" s="5"/>
      <c r="E23" s="5"/>
      <c r="F23" s="5"/>
      <c r="G23" s="5"/>
      <c r="H23" s="5"/>
      <c r="I23" s="5">
        <f t="shared" si="0"/>
        <v>53.102000000000004</v>
      </c>
      <c r="J23" s="5">
        <f>'Ведомость учета'!Z24</f>
        <v>9.190846705818176</v>
      </c>
      <c r="K23" s="69">
        <f>'Ведомость учета'!AA24</f>
        <v>-18.025187224920781</v>
      </c>
    </row>
    <row r="24" spans="2:11" ht="15.75" x14ac:dyDescent="0.25">
      <c r="B24" s="55" t="s">
        <v>9</v>
      </c>
      <c r="C24" s="83">
        <v>49.401800000000001</v>
      </c>
      <c r="D24" s="5"/>
      <c r="E24" s="5"/>
      <c r="F24" s="5"/>
      <c r="G24" s="5"/>
      <c r="H24" s="5"/>
      <c r="I24" s="5">
        <f t="shared" si="0"/>
        <v>49.401800000000001</v>
      </c>
      <c r="J24" s="5">
        <f>'Ведомость учета'!Z25</f>
        <v>9.5137240673065193</v>
      </c>
      <c r="K24" s="69">
        <f>'Ведомость учета'!AA25</f>
        <v>-13.688639947857929</v>
      </c>
    </row>
    <row r="25" spans="2:11" ht="15.75" x14ac:dyDescent="0.25">
      <c r="B25" s="55" t="s">
        <v>10</v>
      </c>
      <c r="C25" s="83">
        <v>41.625</v>
      </c>
      <c r="D25" s="5"/>
      <c r="E25" s="5"/>
      <c r="F25" s="5"/>
      <c r="G25" s="5"/>
      <c r="H25" s="5"/>
      <c r="I25" s="5">
        <f t="shared" si="0"/>
        <v>41.625</v>
      </c>
      <c r="J25" s="5">
        <f>'Ведомость учета'!Z26</f>
        <v>10.641936052799224</v>
      </c>
      <c r="K25" s="69">
        <f>'Ведомость учета'!AA26</f>
        <v>-12.207483033320312</v>
      </c>
    </row>
    <row r="26" spans="2:11" ht="15.75" x14ac:dyDescent="0.25">
      <c r="B26" s="55" t="s">
        <v>11</v>
      </c>
      <c r="C26" s="83">
        <v>34.281800000000004</v>
      </c>
      <c r="D26" s="5"/>
      <c r="E26" s="5"/>
      <c r="F26" s="5"/>
      <c r="G26" s="5"/>
      <c r="H26" s="5"/>
      <c r="I26" s="5">
        <f t="shared" si="0"/>
        <v>34.281800000000004</v>
      </c>
      <c r="J26" s="5">
        <f>'Ведомость учета'!Z27</f>
        <v>10.933643697929384</v>
      </c>
      <c r="K26" s="69">
        <f>'Ведомость учета'!AA27</f>
        <v>-17.970882446598118</v>
      </c>
    </row>
    <row r="27" spans="2:11" ht="15.75" x14ac:dyDescent="0.25">
      <c r="B27" s="55" t="s">
        <v>12</v>
      </c>
      <c r="C27" s="83">
        <v>31.877600000000001</v>
      </c>
      <c r="D27" s="5"/>
      <c r="E27" s="5"/>
      <c r="F27" s="5"/>
      <c r="G27" s="5"/>
      <c r="H27" s="5"/>
      <c r="I27" s="5">
        <f t="shared" si="0"/>
        <v>31.877600000000001</v>
      </c>
      <c r="J27" s="5">
        <f>'Ведомость учета'!Z28</f>
        <v>10.408559025478365</v>
      </c>
      <c r="K27" s="69">
        <f>'Ведомость учета'!AA28</f>
        <v>-12.831487083824861</v>
      </c>
    </row>
    <row r="28" spans="2:11" ht="15.75" x14ac:dyDescent="0.25">
      <c r="B28" s="55" t="s">
        <v>13</v>
      </c>
      <c r="C28" s="83">
        <v>33.261199999999995</v>
      </c>
      <c r="D28" s="5"/>
      <c r="E28" s="5"/>
      <c r="F28" s="5"/>
      <c r="G28" s="5"/>
      <c r="H28" s="5"/>
      <c r="I28" s="5">
        <f t="shared" si="0"/>
        <v>33.261199999999995</v>
      </c>
      <c r="J28" s="5">
        <f>'Ведомость учета'!Z29</f>
        <v>10.51142175178528</v>
      </c>
      <c r="K28" s="69">
        <f>'Ведомость учета'!AA29</f>
        <v>-10.898312810329262</v>
      </c>
    </row>
    <row r="29" spans="2:11" ht="15.75" x14ac:dyDescent="0.25">
      <c r="B29" s="55" t="s">
        <v>14</v>
      </c>
      <c r="C29" s="83">
        <v>33.142399999999995</v>
      </c>
      <c r="D29" s="5"/>
      <c r="E29" s="5"/>
      <c r="F29" s="5"/>
      <c r="G29" s="5"/>
      <c r="H29" s="5"/>
      <c r="I29" s="5">
        <f t="shared" si="0"/>
        <v>33.142399999999995</v>
      </c>
      <c r="J29" s="5">
        <f>'Ведомость учета'!Z30</f>
        <v>10.594765919208527</v>
      </c>
      <c r="K29" s="69">
        <f>'Ведомость учета'!AA30</f>
        <v>-13.656291757555749</v>
      </c>
    </row>
    <row r="30" spans="2:11" ht="15.75" x14ac:dyDescent="0.25">
      <c r="B30" s="55" t="s">
        <v>15</v>
      </c>
      <c r="C30" s="83">
        <v>42.285000000000004</v>
      </c>
      <c r="D30" s="5"/>
      <c r="E30" s="5"/>
      <c r="F30" s="5"/>
      <c r="G30" s="5"/>
      <c r="H30" s="5"/>
      <c r="I30" s="5">
        <f t="shared" si="0"/>
        <v>42.285000000000004</v>
      </c>
      <c r="J30" s="5">
        <f>'Ведомость учета'!Z31</f>
        <v>10.586750330352784</v>
      </c>
      <c r="K30" s="69">
        <f>'Ведомость учета'!AA31</f>
        <v>-12.581221922594127</v>
      </c>
    </row>
    <row r="31" spans="2:11" ht="15.75" x14ac:dyDescent="0.25">
      <c r="B31" s="55" t="s">
        <v>16</v>
      </c>
      <c r="C31" s="83">
        <v>53.346800000000002</v>
      </c>
      <c r="D31" s="5"/>
      <c r="E31" s="5"/>
      <c r="F31" s="5"/>
      <c r="G31" s="5"/>
      <c r="H31" s="5"/>
      <c r="I31" s="5">
        <f t="shared" si="0"/>
        <v>53.346800000000002</v>
      </c>
      <c r="J31" s="5">
        <f>'Ведомость учета'!Z32</f>
        <v>10.430864750576019</v>
      </c>
      <c r="K31" s="69">
        <f>'Ведомость учета'!AA32</f>
        <v>-10.809060493594773</v>
      </c>
    </row>
    <row r="32" spans="2:11" ht="15.75" x14ac:dyDescent="0.25">
      <c r="B32" s="55" t="s">
        <v>17</v>
      </c>
      <c r="C32" s="83">
        <v>54.457999999999998</v>
      </c>
      <c r="D32" s="5"/>
      <c r="E32" s="5"/>
      <c r="F32" s="5"/>
      <c r="G32" s="5"/>
      <c r="H32" s="5"/>
      <c r="I32" s="5">
        <f t="shared" si="0"/>
        <v>54.457999999999998</v>
      </c>
      <c r="J32" s="5">
        <f>'Ведомость учета'!Z33</f>
        <v>10.62476795902252</v>
      </c>
      <c r="K32" s="69">
        <f>'Ведомость учета'!AA33</f>
        <v>-1.093220159549162</v>
      </c>
    </row>
    <row r="33" spans="2:11" ht="15.75" x14ac:dyDescent="0.25">
      <c r="B33" s="55" t="s">
        <v>18</v>
      </c>
      <c r="C33" s="83">
        <v>56.011000000000003</v>
      </c>
      <c r="D33" s="5"/>
      <c r="E33" s="5"/>
      <c r="F33" s="5"/>
      <c r="G33" s="5"/>
      <c r="H33" s="5"/>
      <c r="I33" s="5">
        <f t="shared" si="0"/>
        <v>56.011000000000003</v>
      </c>
      <c r="J33" s="5">
        <f>'Ведомость учета'!Z34</f>
        <v>10.776273074817659</v>
      </c>
      <c r="K33" s="69">
        <f>'Ведомость учета'!AA34</f>
        <v>-5.7848756484001083</v>
      </c>
    </row>
    <row r="34" spans="2:11" ht="31.5" customHeight="1" x14ac:dyDescent="0.25">
      <c r="B34" s="57" t="s">
        <v>41</v>
      </c>
      <c r="C34" s="71">
        <f>'Ведомость учета'!Y35</f>
        <v>334.18353801643372</v>
      </c>
      <c r="D34" s="4">
        <f t="shared" ref="D34:H34" si="1">SUM(D10:D33)</f>
        <v>0</v>
      </c>
      <c r="E34" s="4">
        <f t="shared" si="1"/>
        <v>0</v>
      </c>
      <c r="F34" s="4">
        <f t="shared" si="1"/>
        <v>0</v>
      </c>
      <c r="G34" s="4">
        <f t="shared" si="1"/>
        <v>0</v>
      </c>
      <c r="H34" s="4">
        <f t="shared" si="1"/>
        <v>0</v>
      </c>
      <c r="I34" s="4">
        <f>SUM(I10:I33)</f>
        <v>1198.7282</v>
      </c>
      <c r="J34" s="71">
        <f>'Ведомость учета'!Z35</f>
        <v>244.9124958600998</v>
      </c>
      <c r="K34" s="72">
        <f>'Ведомость учета'!AA35</f>
        <v>-304.97405917955086</v>
      </c>
    </row>
    <row r="35" spans="2:11" ht="51.75" customHeight="1" x14ac:dyDescent="0.25">
      <c r="B35" s="57" t="s">
        <v>59</v>
      </c>
      <c r="C35" s="4"/>
      <c r="D35" s="5"/>
      <c r="E35" s="5"/>
      <c r="F35" s="5"/>
      <c r="G35" s="5"/>
      <c r="H35" s="5"/>
      <c r="I35" s="5"/>
      <c r="J35" s="5"/>
      <c r="K35" s="69"/>
    </row>
    <row r="36" spans="2:11" ht="14.25" customHeight="1" x14ac:dyDescent="0.25">
      <c r="B36" s="325"/>
      <c r="C36" s="326"/>
      <c r="D36" s="326"/>
      <c r="E36" s="326"/>
      <c r="F36" s="326"/>
      <c r="G36" s="326"/>
      <c r="H36" s="326"/>
      <c r="I36" s="326"/>
      <c r="J36" s="326"/>
      <c r="K36" s="327"/>
    </row>
    <row r="37" spans="2:11" ht="21.75" customHeight="1" x14ac:dyDescent="0.25">
      <c r="B37" s="329" t="s">
        <v>43</v>
      </c>
      <c r="C37" s="330"/>
      <c r="D37" s="330"/>
      <c r="E37" s="330"/>
      <c r="F37" s="330"/>
      <c r="G37" s="330"/>
      <c r="H37" s="330"/>
      <c r="I37" s="330"/>
      <c r="J37" s="330"/>
      <c r="K37" s="331"/>
    </row>
    <row r="38" spans="2:11" ht="11.25" customHeight="1" x14ac:dyDescent="0.25">
      <c r="B38" s="70"/>
      <c r="C38" s="13"/>
      <c r="D38" s="13"/>
      <c r="E38" s="13"/>
      <c r="F38" s="13"/>
      <c r="G38" s="13"/>
      <c r="H38" s="13"/>
      <c r="I38" s="13"/>
      <c r="J38" s="13"/>
      <c r="K38" s="60"/>
    </row>
    <row r="39" spans="2:11" ht="57.75" customHeight="1" thickBot="1" x14ac:dyDescent="0.3">
      <c r="B39" s="322" t="s">
        <v>44</v>
      </c>
      <c r="C39" s="323"/>
      <c r="D39" s="323"/>
      <c r="E39" s="323"/>
      <c r="F39" s="323"/>
      <c r="G39" s="323"/>
      <c r="H39" s="323"/>
      <c r="I39" s="323"/>
      <c r="J39" s="323"/>
      <c r="K39" s="324"/>
    </row>
    <row r="40" spans="2:11" ht="39" customHeight="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18">
    <mergeCell ref="B39:K39"/>
    <mergeCell ref="D7:D8"/>
    <mergeCell ref="B36:K36"/>
    <mergeCell ref="E7:E8"/>
    <mergeCell ref="F7:F8"/>
    <mergeCell ref="B37:K37"/>
    <mergeCell ref="B2:G2"/>
    <mergeCell ref="B5:B8"/>
    <mergeCell ref="K5:K6"/>
    <mergeCell ref="H7:H8"/>
    <mergeCell ref="I5:J6"/>
    <mergeCell ref="C7:C8"/>
    <mergeCell ref="G7:G8"/>
    <mergeCell ref="I2:K2"/>
    <mergeCell ref="B3:K3"/>
    <mergeCell ref="B4:K4"/>
    <mergeCell ref="C5:D6"/>
    <mergeCell ref="E5:H6"/>
  </mergeCells>
  <phoneticPr fontId="16" type="noConversion"/>
  <printOptions horizontalCentered="1" verticalCentered="1"/>
  <pageMargins left="0.27559055118110237" right="0.23622047244094491" top="0" bottom="0" header="0" footer="0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T38"/>
  <sheetViews>
    <sheetView topLeftCell="AV16" zoomScaleNormal="100" zoomScaleSheetLayoutView="80" workbookViewId="0">
      <selection activeCell="N25" sqref="N25"/>
    </sheetView>
  </sheetViews>
  <sheetFormatPr defaultRowHeight="15" x14ac:dyDescent="0.25"/>
  <cols>
    <col min="1" max="1" width="0.140625" customWidth="1"/>
    <col min="2" max="2" width="2.7109375" hidden="1" customWidth="1"/>
    <col min="3" max="3" width="7.140625" customWidth="1"/>
    <col min="4" max="39" width="7.85546875" customWidth="1"/>
    <col min="40" max="40" width="7.7109375" customWidth="1"/>
    <col min="41" max="50" width="7.85546875" customWidth="1"/>
    <col min="51" max="52" width="7.85546875" hidden="1" customWidth="1"/>
    <col min="53" max="54" width="7.85546875" customWidth="1"/>
    <col min="55" max="55" width="9.140625" bestFit="1" customWidth="1"/>
    <col min="56" max="71" width="7.85546875" customWidth="1"/>
    <col min="72" max="72" width="9.7109375" bestFit="1" customWidth="1"/>
  </cols>
  <sheetData>
    <row r="1" spans="3:72" ht="41.25" customHeight="1" x14ac:dyDescent="0.25">
      <c r="C1" s="340" t="s">
        <v>225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39" t="s">
        <v>269</v>
      </c>
      <c r="BL1" s="339"/>
      <c r="BM1" s="339"/>
      <c r="BN1" s="339"/>
      <c r="BO1" s="339"/>
      <c r="BP1" s="339"/>
      <c r="BQ1" s="339"/>
      <c r="BR1" s="339"/>
      <c r="BS1" s="339"/>
      <c r="BT1" s="339"/>
    </row>
    <row r="2" spans="3:72" s="18" customFormat="1" ht="18" customHeight="1" x14ac:dyDescent="0.25">
      <c r="C2" s="342" t="s">
        <v>230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</row>
    <row r="3" spans="3:72" s="18" customFormat="1" ht="18.75" customHeight="1" x14ac:dyDescent="0.25">
      <c r="C3" s="342" t="s">
        <v>227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</row>
    <row r="4" spans="3:72" ht="21.75" customHeight="1" x14ac:dyDescent="0.25">
      <c r="C4" s="353" t="s">
        <v>0</v>
      </c>
      <c r="D4" s="344" t="s">
        <v>57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6"/>
      <c r="BA4" s="347" t="s">
        <v>224</v>
      </c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8" t="s">
        <v>45</v>
      </c>
    </row>
    <row r="5" spans="3:72" ht="32.25" customHeight="1" x14ac:dyDescent="0.25">
      <c r="C5" s="354"/>
      <c r="D5" s="334" t="s">
        <v>162</v>
      </c>
      <c r="E5" s="334" t="s">
        <v>106</v>
      </c>
      <c r="F5" s="334" t="s">
        <v>113</v>
      </c>
      <c r="G5" s="334" t="s">
        <v>107</v>
      </c>
      <c r="H5" s="334" t="s">
        <v>108</v>
      </c>
      <c r="I5" s="336" t="s">
        <v>109</v>
      </c>
      <c r="J5" s="334" t="s">
        <v>111</v>
      </c>
      <c r="K5" s="334" t="s">
        <v>160</v>
      </c>
      <c r="L5" s="334" t="s">
        <v>110</v>
      </c>
      <c r="M5" s="334" t="s">
        <v>163</v>
      </c>
      <c r="N5" s="334" t="s">
        <v>261</v>
      </c>
      <c r="O5" s="334" t="s">
        <v>155</v>
      </c>
      <c r="P5" s="334" t="s">
        <v>221</v>
      </c>
      <c r="Q5" s="334" t="s">
        <v>112</v>
      </c>
      <c r="R5" s="334" t="s">
        <v>141</v>
      </c>
      <c r="S5" s="334" t="s">
        <v>222</v>
      </c>
      <c r="T5" s="334" t="s">
        <v>164</v>
      </c>
      <c r="U5" s="334" t="s">
        <v>223</v>
      </c>
      <c r="V5" s="334" t="s">
        <v>158</v>
      </c>
      <c r="W5" s="334" t="s">
        <v>157</v>
      </c>
      <c r="X5" s="334" t="s">
        <v>161</v>
      </c>
      <c r="Y5" s="334" t="s">
        <v>159</v>
      </c>
      <c r="Z5" s="334" t="s">
        <v>165</v>
      </c>
      <c r="AA5" s="334" t="s">
        <v>166</v>
      </c>
      <c r="AB5" s="334" t="s">
        <v>167</v>
      </c>
      <c r="AC5" s="334" t="s">
        <v>250</v>
      </c>
      <c r="AD5" s="351" t="s">
        <v>251</v>
      </c>
      <c r="AE5" s="337" t="s">
        <v>178</v>
      </c>
      <c r="AF5" s="337"/>
      <c r="AG5" s="337"/>
      <c r="AH5" s="337"/>
      <c r="AI5" s="332" t="s">
        <v>179</v>
      </c>
      <c r="AJ5" s="333"/>
      <c r="AK5" s="337" t="s">
        <v>200</v>
      </c>
      <c r="AL5" s="337"/>
      <c r="AM5" s="337"/>
      <c r="AN5" s="75" t="s">
        <v>249</v>
      </c>
      <c r="AO5" s="75" t="s">
        <v>260</v>
      </c>
      <c r="AP5" s="332" t="s">
        <v>178</v>
      </c>
      <c r="AQ5" s="335"/>
      <c r="AR5" s="335"/>
      <c r="AS5" s="335"/>
      <c r="AT5" s="335"/>
      <c r="AU5" s="335"/>
      <c r="AV5" s="335"/>
      <c r="AW5" s="335"/>
      <c r="AX5" s="333"/>
      <c r="AY5" s="332" t="s">
        <v>180</v>
      </c>
      <c r="AZ5" s="333"/>
      <c r="BA5" s="338" t="s">
        <v>201</v>
      </c>
      <c r="BB5" s="338"/>
      <c r="BC5" s="338"/>
      <c r="BD5" s="337" t="s">
        <v>262</v>
      </c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 t="s">
        <v>204</v>
      </c>
      <c r="BR5" s="337"/>
      <c r="BS5" s="337"/>
      <c r="BT5" s="349"/>
    </row>
    <row r="6" spans="3:72" ht="121.5" customHeight="1" x14ac:dyDescent="0.25">
      <c r="C6" s="354"/>
      <c r="D6" s="334"/>
      <c r="E6" s="334"/>
      <c r="F6" s="334"/>
      <c r="G6" s="334"/>
      <c r="H6" s="334"/>
      <c r="I6" s="336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52"/>
      <c r="AE6" s="52" t="s">
        <v>181</v>
      </c>
      <c r="AF6" s="52" t="s">
        <v>182</v>
      </c>
      <c r="AG6" s="52" t="s">
        <v>183</v>
      </c>
      <c r="AH6" s="52" t="s">
        <v>184</v>
      </c>
      <c r="AI6" s="79" t="s">
        <v>185</v>
      </c>
      <c r="AJ6" s="79" t="s">
        <v>186</v>
      </c>
      <c r="AK6" s="79" t="s">
        <v>187</v>
      </c>
      <c r="AL6" s="79" t="s">
        <v>188</v>
      </c>
      <c r="AM6" s="79" t="s">
        <v>189</v>
      </c>
      <c r="AN6" s="78" t="s">
        <v>248</v>
      </c>
      <c r="AO6" s="78" t="s">
        <v>259</v>
      </c>
      <c r="AP6" s="79" t="s">
        <v>190</v>
      </c>
      <c r="AQ6" s="79" t="s">
        <v>191</v>
      </c>
      <c r="AR6" s="79" t="s">
        <v>192</v>
      </c>
      <c r="AS6" s="79" t="s">
        <v>193</v>
      </c>
      <c r="AT6" s="79" t="s">
        <v>252</v>
      </c>
      <c r="AU6" s="79" t="s">
        <v>194</v>
      </c>
      <c r="AV6" s="79" t="s">
        <v>195</v>
      </c>
      <c r="AW6" s="79" t="s">
        <v>196</v>
      </c>
      <c r="AX6" s="79" t="s">
        <v>197</v>
      </c>
      <c r="AY6" s="79" t="s">
        <v>198</v>
      </c>
      <c r="AZ6" s="79" t="s">
        <v>199</v>
      </c>
      <c r="BA6" s="80" t="s">
        <v>202</v>
      </c>
      <c r="BB6" s="80" t="s">
        <v>247</v>
      </c>
      <c r="BC6" s="80" t="s">
        <v>203</v>
      </c>
      <c r="BD6" s="81" t="s">
        <v>205</v>
      </c>
      <c r="BE6" s="81" t="s">
        <v>206</v>
      </c>
      <c r="BF6" s="81" t="s">
        <v>207</v>
      </c>
      <c r="BG6" s="81" t="s">
        <v>208</v>
      </c>
      <c r="BH6" s="81" t="s">
        <v>209</v>
      </c>
      <c r="BI6" s="81" t="s">
        <v>210</v>
      </c>
      <c r="BJ6" s="81" t="s">
        <v>211</v>
      </c>
      <c r="BK6" s="81" t="s">
        <v>212</v>
      </c>
      <c r="BL6" s="81" t="s">
        <v>213</v>
      </c>
      <c r="BM6" s="81" t="s">
        <v>214</v>
      </c>
      <c r="BN6" s="81" t="s">
        <v>215</v>
      </c>
      <c r="BO6" s="53" t="s">
        <v>216</v>
      </c>
      <c r="BP6" s="53" t="s">
        <v>217</v>
      </c>
      <c r="BQ6" s="53" t="s">
        <v>218</v>
      </c>
      <c r="BR6" s="53" t="s">
        <v>219</v>
      </c>
      <c r="BS6" s="53" t="s">
        <v>220</v>
      </c>
      <c r="BT6" s="350"/>
    </row>
    <row r="7" spans="3:72" ht="14.25" customHeight="1" x14ac:dyDescent="0.25">
      <c r="C7" s="355"/>
      <c r="D7" s="54">
        <v>1</v>
      </c>
      <c r="E7" s="54">
        <f>D7+1</f>
        <v>2</v>
      </c>
      <c r="F7" s="54">
        <f>E7+1</f>
        <v>3</v>
      </c>
      <c r="G7" s="54">
        <f t="shared" ref="G7:AA7" si="0">F7+1</f>
        <v>4</v>
      </c>
      <c r="H7" s="54">
        <f t="shared" si="0"/>
        <v>5</v>
      </c>
      <c r="I7" s="54">
        <f t="shared" si="0"/>
        <v>6</v>
      </c>
      <c r="J7" s="54">
        <f t="shared" si="0"/>
        <v>7</v>
      </c>
      <c r="K7" s="54">
        <f t="shared" si="0"/>
        <v>8</v>
      </c>
      <c r="L7" s="54">
        <f t="shared" si="0"/>
        <v>9</v>
      </c>
      <c r="M7" s="54">
        <f t="shared" si="0"/>
        <v>10</v>
      </c>
      <c r="N7" s="54">
        <f t="shared" si="0"/>
        <v>11</v>
      </c>
      <c r="O7" s="54">
        <f t="shared" si="0"/>
        <v>12</v>
      </c>
      <c r="P7" s="54">
        <f t="shared" si="0"/>
        <v>13</v>
      </c>
      <c r="Q7" s="54">
        <f t="shared" si="0"/>
        <v>14</v>
      </c>
      <c r="R7" s="54">
        <f t="shared" si="0"/>
        <v>15</v>
      </c>
      <c r="S7" s="54">
        <f t="shared" si="0"/>
        <v>16</v>
      </c>
      <c r="T7" s="54">
        <f>S7+1</f>
        <v>17</v>
      </c>
      <c r="U7" s="54">
        <f>T7+1</f>
        <v>18</v>
      </c>
      <c r="V7" s="54">
        <f t="shared" si="0"/>
        <v>19</v>
      </c>
      <c r="W7" s="54">
        <f t="shared" si="0"/>
        <v>20</v>
      </c>
      <c r="X7" s="54">
        <f t="shared" si="0"/>
        <v>21</v>
      </c>
      <c r="Y7" s="54">
        <f t="shared" si="0"/>
        <v>22</v>
      </c>
      <c r="Z7" s="54">
        <f t="shared" si="0"/>
        <v>23</v>
      </c>
      <c r="AA7" s="54">
        <f t="shared" si="0"/>
        <v>24</v>
      </c>
      <c r="AB7" s="54">
        <f t="shared" ref="AB7:AP7" si="1">AA7+1</f>
        <v>25</v>
      </c>
      <c r="AC7" s="54">
        <f t="shared" si="1"/>
        <v>26</v>
      </c>
      <c r="AD7" s="54">
        <f>AC7+1</f>
        <v>27</v>
      </c>
      <c r="AE7" s="54">
        <f t="shared" si="1"/>
        <v>28</v>
      </c>
      <c r="AF7" s="54">
        <f t="shared" si="1"/>
        <v>29</v>
      </c>
      <c r="AG7" s="54">
        <f t="shared" si="1"/>
        <v>30</v>
      </c>
      <c r="AH7" s="54">
        <f t="shared" si="1"/>
        <v>31</v>
      </c>
      <c r="AI7" s="54">
        <f t="shared" si="1"/>
        <v>32</v>
      </c>
      <c r="AJ7" s="54">
        <f t="shared" si="1"/>
        <v>33</v>
      </c>
      <c r="AK7" s="54">
        <f t="shared" si="1"/>
        <v>34</v>
      </c>
      <c r="AL7" s="54">
        <f t="shared" si="1"/>
        <v>35</v>
      </c>
      <c r="AM7" s="54">
        <f t="shared" si="1"/>
        <v>36</v>
      </c>
      <c r="AN7" s="54">
        <f t="shared" si="1"/>
        <v>37</v>
      </c>
      <c r="AO7" s="54">
        <f t="shared" si="1"/>
        <v>38</v>
      </c>
      <c r="AP7" s="54">
        <f t="shared" si="1"/>
        <v>39</v>
      </c>
      <c r="AQ7" s="54">
        <f t="shared" ref="AQ7:BS7" si="2">AP7+1</f>
        <v>40</v>
      </c>
      <c r="AR7" s="54">
        <f t="shared" si="2"/>
        <v>41</v>
      </c>
      <c r="AS7" s="54">
        <f t="shared" si="2"/>
        <v>42</v>
      </c>
      <c r="AT7" s="54">
        <f t="shared" si="2"/>
        <v>43</v>
      </c>
      <c r="AU7" s="54">
        <f t="shared" si="2"/>
        <v>44</v>
      </c>
      <c r="AV7" s="54">
        <f t="shared" si="2"/>
        <v>45</v>
      </c>
      <c r="AW7" s="54">
        <f t="shared" si="2"/>
        <v>46</v>
      </c>
      <c r="AX7" s="54">
        <f t="shared" si="2"/>
        <v>47</v>
      </c>
      <c r="AY7" s="54">
        <f t="shared" si="2"/>
        <v>48</v>
      </c>
      <c r="AZ7" s="54">
        <f t="shared" si="2"/>
        <v>49</v>
      </c>
      <c r="BA7" s="54">
        <f>AZ7+1</f>
        <v>50</v>
      </c>
      <c r="BB7" s="54">
        <f t="shared" si="2"/>
        <v>51</v>
      </c>
      <c r="BC7" s="54">
        <f t="shared" si="2"/>
        <v>52</v>
      </c>
      <c r="BD7" s="54">
        <f t="shared" si="2"/>
        <v>53</v>
      </c>
      <c r="BE7" s="54">
        <f t="shared" si="2"/>
        <v>54</v>
      </c>
      <c r="BF7" s="54">
        <f t="shared" si="2"/>
        <v>55</v>
      </c>
      <c r="BG7" s="54">
        <f t="shared" si="2"/>
        <v>56</v>
      </c>
      <c r="BH7" s="54">
        <f t="shared" si="2"/>
        <v>57</v>
      </c>
      <c r="BI7" s="54">
        <f t="shared" si="2"/>
        <v>58</v>
      </c>
      <c r="BJ7" s="54">
        <f t="shared" si="2"/>
        <v>59</v>
      </c>
      <c r="BK7" s="54">
        <f t="shared" si="2"/>
        <v>60</v>
      </c>
      <c r="BL7" s="54">
        <f t="shared" si="2"/>
        <v>61</v>
      </c>
      <c r="BM7" s="54">
        <f t="shared" si="2"/>
        <v>62</v>
      </c>
      <c r="BN7" s="54">
        <f t="shared" si="2"/>
        <v>63</v>
      </c>
      <c r="BO7" s="54">
        <f t="shared" si="2"/>
        <v>64</v>
      </c>
      <c r="BP7" s="54">
        <f t="shared" si="2"/>
        <v>65</v>
      </c>
      <c r="BQ7" s="54">
        <f t="shared" si="2"/>
        <v>66</v>
      </c>
      <c r="BR7" s="54">
        <f t="shared" si="2"/>
        <v>67</v>
      </c>
      <c r="BS7" s="54">
        <f t="shared" si="2"/>
        <v>68</v>
      </c>
      <c r="BT7" s="51">
        <f>BS7+1</f>
        <v>69</v>
      </c>
    </row>
    <row r="8" spans="3:72" ht="15.75" x14ac:dyDescent="0.25">
      <c r="C8" s="115" t="s">
        <v>7</v>
      </c>
      <c r="D8" s="116">
        <v>4.1142000000000003</v>
      </c>
      <c r="E8" s="116">
        <v>0.16800000000000001</v>
      </c>
      <c r="F8" s="116">
        <v>8.4999999999999992E-2</v>
      </c>
      <c r="G8" s="116">
        <v>5.4999999999999997E-3</v>
      </c>
      <c r="H8" s="116">
        <v>1E-3</v>
      </c>
      <c r="I8" s="116">
        <v>0</v>
      </c>
      <c r="J8" s="116">
        <v>0.26869999999999999</v>
      </c>
      <c r="K8" s="116">
        <v>0</v>
      </c>
      <c r="L8" s="116">
        <v>8.1199999999999994E-2</v>
      </c>
      <c r="M8" s="116">
        <v>5.5999999999999999E-3</v>
      </c>
      <c r="N8" s="116">
        <v>0</v>
      </c>
      <c r="O8" s="116">
        <v>0.49550000000000011</v>
      </c>
      <c r="P8" s="116">
        <v>0.35709999999999997</v>
      </c>
      <c r="Q8" s="116">
        <v>0</v>
      </c>
      <c r="R8" s="116">
        <v>4.3000000000000003E-2</v>
      </c>
      <c r="S8" s="116">
        <v>1.0493883231311745</v>
      </c>
      <c r="T8" s="116">
        <v>0</v>
      </c>
      <c r="U8" s="116">
        <v>8.0000000000000007E-7</v>
      </c>
      <c r="V8" s="116">
        <v>7.0000000000000001E-3</v>
      </c>
      <c r="W8" s="117">
        <v>0.11020000000000001</v>
      </c>
      <c r="X8" s="116">
        <v>4.0000000000000001E-3</v>
      </c>
      <c r="Y8" s="116">
        <v>0</v>
      </c>
      <c r="Z8" s="116">
        <v>4.2999999999999997E-2</v>
      </c>
      <c r="AA8" s="116">
        <v>0</v>
      </c>
      <c r="AB8" s="116">
        <v>1.3640772170607491E-3</v>
      </c>
      <c r="AC8" s="116">
        <v>0</v>
      </c>
      <c r="AD8" s="116">
        <v>9.4E-2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5.2900000000000003E-2</v>
      </c>
      <c r="AM8" s="119">
        <v>0</v>
      </c>
      <c r="AN8" s="113">
        <v>0.13583609461784363</v>
      </c>
      <c r="AO8" s="119">
        <v>0</v>
      </c>
      <c r="AP8" s="119">
        <v>0</v>
      </c>
      <c r="AQ8" s="113">
        <v>0.29852473735809326</v>
      </c>
      <c r="AR8" s="113">
        <v>4.5707136392593384E-2</v>
      </c>
      <c r="AS8" s="113">
        <v>7.7130794525146484E-2</v>
      </c>
      <c r="AT8" s="113">
        <v>1.3569306582212448E-2</v>
      </c>
      <c r="AU8" s="113">
        <v>0.64076393842697144</v>
      </c>
      <c r="AV8" s="119">
        <v>0</v>
      </c>
      <c r="AW8" s="119">
        <v>0</v>
      </c>
      <c r="AX8" s="119">
        <v>0</v>
      </c>
      <c r="AY8" s="119"/>
      <c r="AZ8" s="119"/>
      <c r="BA8" s="113">
        <v>-1.8618531227111816</v>
      </c>
      <c r="BB8" s="113">
        <v>-2.0032596588134766</v>
      </c>
      <c r="BC8" s="113">
        <v>-7.4945478439331055</v>
      </c>
      <c r="BD8" s="119">
        <v>0</v>
      </c>
      <c r="BE8" s="119">
        <v>0</v>
      </c>
      <c r="BF8" s="119">
        <v>0</v>
      </c>
      <c r="BG8" s="119">
        <v>0</v>
      </c>
      <c r="BH8" s="119">
        <v>0</v>
      </c>
      <c r="BI8" s="113">
        <v>0.31994995474815369</v>
      </c>
      <c r="BJ8" s="119">
        <v>0</v>
      </c>
      <c r="BK8" s="119">
        <v>0</v>
      </c>
      <c r="BL8" s="119">
        <v>0</v>
      </c>
      <c r="BM8" s="119">
        <v>0</v>
      </c>
      <c r="BN8" s="119">
        <v>0</v>
      </c>
      <c r="BO8" s="119">
        <v>0</v>
      </c>
      <c r="BP8" s="119">
        <v>0</v>
      </c>
      <c r="BQ8" s="119">
        <v>0</v>
      </c>
      <c r="BR8" s="119">
        <v>0</v>
      </c>
      <c r="BS8" s="119">
        <v>0</v>
      </c>
      <c r="BT8" s="120">
        <f t="shared" ref="BT8:BT31" si="3">SUM(D8:BS8)</f>
        <v>-2.8415254624585131</v>
      </c>
    </row>
    <row r="9" spans="3:72" ht="15.75" x14ac:dyDescent="0.25">
      <c r="C9" s="121" t="s">
        <v>20</v>
      </c>
      <c r="D9" s="116">
        <v>4.1150000000000002</v>
      </c>
      <c r="E9" s="116">
        <v>0.193</v>
      </c>
      <c r="F9" s="116">
        <v>6.5000000000000002E-2</v>
      </c>
      <c r="G9" s="116">
        <v>5.4999999999999997E-3</v>
      </c>
      <c r="H9" s="116">
        <v>1E-3</v>
      </c>
      <c r="I9" s="116">
        <v>0</v>
      </c>
      <c r="J9" s="116">
        <v>0.22800000000000001</v>
      </c>
      <c r="K9" s="116">
        <v>0</v>
      </c>
      <c r="L9" s="116">
        <v>8.2000000000000003E-2</v>
      </c>
      <c r="M9" s="116">
        <v>6.0000000000000001E-3</v>
      </c>
      <c r="N9" s="116">
        <v>0</v>
      </c>
      <c r="O9" s="116">
        <v>0.48100000000000009</v>
      </c>
      <c r="P9" s="116">
        <v>0.37530000000000002</v>
      </c>
      <c r="Q9" s="116">
        <v>0</v>
      </c>
      <c r="R9" s="116">
        <v>0.04</v>
      </c>
      <c r="S9" s="116">
        <v>1.0101154270895716</v>
      </c>
      <c r="T9" s="116">
        <v>0</v>
      </c>
      <c r="U9" s="116">
        <v>9.9999999999999995E-7</v>
      </c>
      <c r="V9" s="116">
        <v>6.0000000000000001E-3</v>
      </c>
      <c r="W9" s="117">
        <v>0.1104</v>
      </c>
      <c r="X9" s="116">
        <v>4.0000000000000001E-3</v>
      </c>
      <c r="Y9" s="116">
        <v>0</v>
      </c>
      <c r="Z9" s="116">
        <v>4.2999999999999997E-2</v>
      </c>
      <c r="AA9" s="116">
        <v>0</v>
      </c>
      <c r="AB9" s="116">
        <v>1.3640772170607491E-3</v>
      </c>
      <c r="AC9" s="116">
        <v>0</v>
      </c>
      <c r="AD9" s="116">
        <v>9.5000000000000001E-2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5.4699999999999999E-2</v>
      </c>
      <c r="AM9" s="119">
        <v>0</v>
      </c>
      <c r="AN9" s="113">
        <v>0.25838851928710938</v>
      </c>
      <c r="AO9" s="119">
        <v>0</v>
      </c>
      <c r="AP9" s="119">
        <v>0</v>
      </c>
      <c r="AQ9" s="113">
        <v>0.27995622158050537</v>
      </c>
      <c r="AR9" s="113">
        <v>4.5707136392593384E-2</v>
      </c>
      <c r="AS9" s="113">
        <v>7.7130794525146484E-2</v>
      </c>
      <c r="AT9" s="113">
        <v>1.3569306582212448E-2</v>
      </c>
      <c r="AU9" s="113">
        <v>0.62530148029327393</v>
      </c>
      <c r="AV9" s="119">
        <v>0</v>
      </c>
      <c r="AW9" s="119">
        <v>0</v>
      </c>
      <c r="AX9" s="119">
        <v>0</v>
      </c>
      <c r="AY9" s="119"/>
      <c r="AZ9" s="119"/>
      <c r="BA9" s="113">
        <v>-1.9954037666320801</v>
      </c>
      <c r="BB9" s="113">
        <v>-2.0503952503204346</v>
      </c>
      <c r="BC9" s="113">
        <v>-5.9940671920776367</v>
      </c>
      <c r="BD9" s="119">
        <v>0</v>
      </c>
      <c r="BE9" s="119">
        <v>0</v>
      </c>
      <c r="BF9" s="119">
        <v>0</v>
      </c>
      <c r="BG9" s="119">
        <v>0</v>
      </c>
      <c r="BH9" s="119">
        <v>0</v>
      </c>
      <c r="BI9" s="113">
        <v>0.31994995474815369</v>
      </c>
      <c r="BJ9" s="119">
        <v>0</v>
      </c>
      <c r="BK9" s="119">
        <v>0</v>
      </c>
      <c r="BL9" s="119">
        <v>0</v>
      </c>
      <c r="BM9" s="119">
        <v>0</v>
      </c>
      <c r="BN9" s="119"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20">
        <f t="shared" si="3"/>
        <v>-1.5034822913145227</v>
      </c>
    </row>
    <row r="10" spans="3:72" ht="15.75" x14ac:dyDescent="0.25">
      <c r="C10" s="121" t="s">
        <v>21</v>
      </c>
      <c r="D10" s="116">
        <v>4.1271000000000004</v>
      </c>
      <c r="E10" s="116">
        <v>0.18</v>
      </c>
      <c r="F10" s="116">
        <v>7.9499999999999987E-2</v>
      </c>
      <c r="G10" s="116">
        <v>6.0000000000000001E-3</v>
      </c>
      <c r="H10" s="116">
        <v>1E-3</v>
      </c>
      <c r="I10" s="116">
        <v>0</v>
      </c>
      <c r="J10" s="116">
        <v>0.26129999999999998</v>
      </c>
      <c r="K10" s="116">
        <v>0</v>
      </c>
      <c r="L10" s="116">
        <v>8.3500000000000005E-2</v>
      </c>
      <c r="M10" s="116">
        <v>6.0000000000000001E-3</v>
      </c>
      <c r="N10" s="116">
        <v>0</v>
      </c>
      <c r="O10" s="116">
        <v>0.47850000000000004</v>
      </c>
      <c r="P10" s="116">
        <v>0.35849999999999999</v>
      </c>
      <c r="Q10" s="116">
        <v>0</v>
      </c>
      <c r="R10" s="116">
        <v>0.04</v>
      </c>
      <c r="S10" s="116">
        <v>1.0436399691918623</v>
      </c>
      <c r="T10" s="116">
        <v>0</v>
      </c>
      <c r="U10" s="116">
        <v>8.0000000000000007E-7</v>
      </c>
      <c r="V10" s="116">
        <v>6.0000000000000001E-3</v>
      </c>
      <c r="W10" s="117">
        <v>0.1094</v>
      </c>
      <c r="X10" s="116">
        <v>4.1999999999999997E-3</v>
      </c>
      <c r="Y10" s="116">
        <v>0</v>
      </c>
      <c r="Z10" s="116">
        <v>4.2999999999999997E-2</v>
      </c>
      <c r="AA10" s="116">
        <v>0</v>
      </c>
      <c r="AB10" s="116">
        <v>1.3640772170607491E-3</v>
      </c>
      <c r="AC10" s="116">
        <v>0</v>
      </c>
      <c r="AD10" s="116">
        <v>9.5000000000000001E-2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5.3600000000000002E-2</v>
      </c>
      <c r="AM10" s="119">
        <v>0</v>
      </c>
      <c r="AN10" s="113">
        <v>0.23139271140098572</v>
      </c>
      <c r="AO10" s="119">
        <v>0</v>
      </c>
      <c r="AP10" s="119">
        <v>0</v>
      </c>
      <c r="AQ10" s="113">
        <v>0.26495856046676636</v>
      </c>
      <c r="AR10" s="113">
        <v>3.7851221859455109E-2</v>
      </c>
      <c r="AS10" s="113">
        <v>7.7130794525146484E-2</v>
      </c>
      <c r="AT10" s="113">
        <v>1.3569306582212448E-2</v>
      </c>
      <c r="AU10" s="113">
        <v>0.63890844583511353</v>
      </c>
      <c r="AV10" s="119">
        <v>0</v>
      </c>
      <c r="AW10" s="119">
        <v>0</v>
      </c>
      <c r="AX10" s="119">
        <v>0</v>
      </c>
      <c r="AY10" s="119"/>
      <c r="AZ10" s="119"/>
      <c r="BA10" s="113">
        <v>-1.3747860193252563</v>
      </c>
      <c r="BB10" s="113">
        <v>-1.9718359708786011</v>
      </c>
      <c r="BC10" s="113">
        <v>-6.6932439804077148</v>
      </c>
      <c r="BD10" s="119">
        <v>0</v>
      </c>
      <c r="BE10" s="119">
        <v>0</v>
      </c>
      <c r="BF10" s="119">
        <v>0</v>
      </c>
      <c r="BG10" s="119">
        <v>0</v>
      </c>
      <c r="BH10" s="119">
        <v>0</v>
      </c>
      <c r="BI10" s="113">
        <v>0.32078316807746887</v>
      </c>
      <c r="BJ10" s="119">
        <v>0</v>
      </c>
      <c r="BK10" s="119">
        <v>0</v>
      </c>
      <c r="BL10" s="119">
        <v>0</v>
      </c>
      <c r="BM10" s="119">
        <v>0</v>
      </c>
      <c r="BN10" s="119">
        <v>0</v>
      </c>
      <c r="BO10" s="119">
        <v>0</v>
      </c>
      <c r="BP10" s="119">
        <v>0</v>
      </c>
      <c r="BQ10" s="119">
        <v>0</v>
      </c>
      <c r="BR10" s="119">
        <v>0</v>
      </c>
      <c r="BS10" s="119">
        <v>0</v>
      </c>
      <c r="BT10" s="120">
        <f t="shared" si="3"/>
        <v>-1.4776669154554973</v>
      </c>
    </row>
    <row r="11" spans="3:72" ht="15.75" x14ac:dyDescent="0.25">
      <c r="C11" s="121" t="s">
        <v>22</v>
      </c>
      <c r="D11" s="116">
        <v>4.1102999999999996</v>
      </c>
      <c r="E11" s="116">
        <v>0.17299999999999999</v>
      </c>
      <c r="F11" s="116">
        <v>6.9499999999999992E-2</v>
      </c>
      <c r="G11" s="116">
        <v>6.1999999999999998E-3</v>
      </c>
      <c r="H11" s="116">
        <v>1E-3</v>
      </c>
      <c r="I11" s="116">
        <v>0</v>
      </c>
      <c r="J11" s="116">
        <v>0.26350000000000001</v>
      </c>
      <c r="K11" s="116">
        <v>0</v>
      </c>
      <c r="L11" s="116">
        <v>9.1499999999999998E-2</v>
      </c>
      <c r="M11" s="116">
        <v>5.4999999999999997E-3</v>
      </c>
      <c r="N11" s="116">
        <v>0</v>
      </c>
      <c r="O11" s="116">
        <v>0.47850000000000009</v>
      </c>
      <c r="P11" s="116">
        <v>0.35820000000000002</v>
      </c>
      <c r="Q11" s="116">
        <v>0</v>
      </c>
      <c r="R11" s="116">
        <v>3.6000000000000004E-2</v>
      </c>
      <c r="S11" s="116">
        <v>1.0306024008600281</v>
      </c>
      <c r="T11" s="116">
        <v>0</v>
      </c>
      <c r="U11" s="116">
        <v>9.9999999999999995E-7</v>
      </c>
      <c r="V11" s="116">
        <v>7.0000000000000001E-3</v>
      </c>
      <c r="W11" s="117">
        <v>0.1101</v>
      </c>
      <c r="X11" s="116">
        <v>4.1000000000000002E-2</v>
      </c>
      <c r="Y11" s="116">
        <v>0</v>
      </c>
      <c r="Z11" s="116">
        <v>4.56735235567352E-2</v>
      </c>
      <c r="AA11" s="116">
        <v>0</v>
      </c>
      <c r="AB11" s="116">
        <v>1.3640772170607491E-3</v>
      </c>
      <c r="AC11" s="116">
        <v>0</v>
      </c>
      <c r="AD11" s="116">
        <v>6.3500000000000001E-2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5.5800000000000002E-2</v>
      </c>
      <c r="AM11" s="119">
        <v>0</v>
      </c>
      <c r="AN11" s="113">
        <v>0.18982772529125214</v>
      </c>
      <c r="AO11" s="119">
        <v>0</v>
      </c>
      <c r="AP11" s="119">
        <v>0</v>
      </c>
      <c r="AQ11" s="113">
        <v>0.28709796071052551</v>
      </c>
      <c r="AR11" s="113">
        <v>3.8565397262573242E-2</v>
      </c>
      <c r="AS11" s="113">
        <v>7.4988268315792084E-2</v>
      </c>
      <c r="AT11" s="113">
        <v>1.3569306582212448E-2</v>
      </c>
      <c r="AU11" s="113">
        <v>0.6166425347328186</v>
      </c>
      <c r="AV11" s="119">
        <v>0</v>
      </c>
      <c r="AW11" s="119">
        <v>0</v>
      </c>
      <c r="AX11" s="119">
        <v>0</v>
      </c>
      <c r="AY11" s="119"/>
      <c r="AZ11" s="119"/>
      <c r="BA11" s="113">
        <v>-1.4612011909484863</v>
      </c>
      <c r="BB11" s="113">
        <v>-2.073962926864624</v>
      </c>
      <c r="BC11" s="113">
        <v>-8.2408599853515625</v>
      </c>
      <c r="BD11" s="119">
        <v>0</v>
      </c>
      <c r="BE11" s="119">
        <v>0</v>
      </c>
      <c r="BF11" s="119">
        <v>0</v>
      </c>
      <c r="BG11" s="119">
        <v>0</v>
      </c>
      <c r="BH11" s="119">
        <v>0</v>
      </c>
      <c r="BI11" s="113">
        <v>0.3182835578918457</v>
      </c>
      <c r="BJ11" s="119">
        <v>0</v>
      </c>
      <c r="BK11" s="119">
        <v>0</v>
      </c>
      <c r="BL11" s="119">
        <v>0</v>
      </c>
      <c r="BM11" s="119">
        <v>0</v>
      </c>
      <c r="BN11" s="119">
        <v>0</v>
      </c>
      <c r="BO11" s="119">
        <v>0</v>
      </c>
      <c r="BP11" s="119">
        <v>0</v>
      </c>
      <c r="BQ11" s="119">
        <v>0</v>
      </c>
      <c r="BR11" s="119">
        <v>0</v>
      </c>
      <c r="BS11" s="119">
        <v>0</v>
      </c>
      <c r="BT11" s="120">
        <f t="shared" si="3"/>
        <v>-3.2888083507438299</v>
      </c>
    </row>
    <row r="12" spans="3:72" ht="15.75" x14ac:dyDescent="0.25">
      <c r="C12" s="121" t="s">
        <v>23</v>
      </c>
      <c r="D12" s="116">
        <v>4.0892999999999997</v>
      </c>
      <c r="E12" s="116">
        <v>0.159</v>
      </c>
      <c r="F12" s="116">
        <v>7.9999999999999988E-2</v>
      </c>
      <c r="G12" s="116">
        <v>7.4999999999999997E-3</v>
      </c>
      <c r="H12" s="116">
        <v>1E-3</v>
      </c>
      <c r="I12" s="116">
        <v>0</v>
      </c>
      <c r="J12" s="116">
        <v>0.26329999999999998</v>
      </c>
      <c r="K12" s="116">
        <v>0</v>
      </c>
      <c r="L12" s="116">
        <v>9.2499999999999999E-2</v>
      </c>
      <c r="M12" s="116">
        <v>5.4999999999999997E-3</v>
      </c>
      <c r="N12" s="116">
        <v>0</v>
      </c>
      <c r="O12" s="116">
        <v>0.48250000000000004</v>
      </c>
      <c r="P12" s="116">
        <v>0.35820000000000002</v>
      </c>
      <c r="Q12" s="116">
        <v>0</v>
      </c>
      <c r="R12" s="116">
        <v>3.6000000000000004E-2</v>
      </c>
      <c r="S12" s="116">
        <v>1.1657812065866986</v>
      </c>
      <c r="T12" s="116">
        <v>6.0000000000000001E-3</v>
      </c>
      <c r="U12" s="116">
        <v>8.0000000000000007E-7</v>
      </c>
      <c r="V12" s="116">
        <v>7.0000000000000001E-3</v>
      </c>
      <c r="W12" s="117">
        <v>0.1087</v>
      </c>
      <c r="X12" s="116">
        <v>4.1000000000000002E-2</v>
      </c>
      <c r="Y12" s="116">
        <v>0</v>
      </c>
      <c r="Z12" s="116">
        <v>4.2673523556735198E-2</v>
      </c>
      <c r="AA12" s="116">
        <v>0</v>
      </c>
      <c r="AB12" s="116">
        <v>1.3640772170607491E-3</v>
      </c>
      <c r="AC12" s="116">
        <v>0</v>
      </c>
      <c r="AD12" s="116">
        <v>4.5999999999999999E-2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7.3800000000000004E-2</v>
      </c>
      <c r="AM12" s="119">
        <v>0</v>
      </c>
      <c r="AN12" s="113">
        <v>0.18468566238880157</v>
      </c>
      <c r="AO12" s="119">
        <v>0</v>
      </c>
      <c r="AP12" s="119">
        <v>0</v>
      </c>
      <c r="AQ12" s="113">
        <v>0.28781211376190186</v>
      </c>
      <c r="AR12" s="113">
        <v>3.4994527697563171E-2</v>
      </c>
      <c r="AS12" s="113">
        <v>7.4988268315792084E-2</v>
      </c>
      <c r="AT12" s="113">
        <v>1.3569306582212448E-2</v>
      </c>
      <c r="AU12" s="113">
        <v>0.62035351991653442</v>
      </c>
      <c r="AV12" s="119">
        <v>0</v>
      </c>
      <c r="AW12" s="119">
        <v>0</v>
      </c>
      <c r="AX12" s="119">
        <v>0</v>
      </c>
      <c r="AY12" s="119"/>
      <c r="AZ12" s="119"/>
      <c r="BA12" s="113">
        <v>-1.3040827512741089</v>
      </c>
      <c r="BB12" s="113">
        <v>-1.8461412191390991</v>
      </c>
      <c r="BC12" s="113">
        <v>-18.948478698730469</v>
      </c>
      <c r="BD12" s="119">
        <v>0</v>
      </c>
      <c r="BE12" s="119">
        <v>0</v>
      </c>
      <c r="BF12" s="119">
        <v>0</v>
      </c>
      <c r="BG12" s="119">
        <v>0</v>
      </c>
      <c r="BH12" s="119">
        <v>0</v>
      </c>
      <c r="BI12" s="113">
        <v>0.31745034456253052</v>
      </c>
      <c r="BJ12" s="119">
        <v>0</v>
      </c>
      <c r="BK12" s="119">
        <v>0</v>
      </c>
      <c r="BL12" s="119">
        <v>0</v>
      </c>
      <c r="BM12" s="119">
        <v>0</v>
      </c>
      <c r="BN12" s="119">
        <v>0</v>
      </c>
      <c r="BO12" s="119">
        <v>0</v>
      </c>
      <c r="BP12" s="119">
        <v>0</v>
      </c>
      <c r="BQ12" s="119">
        <v>0</v>
      </c>
      <c r="BR12" s="119">
        <v>0</v>
      </c>
      <c r="BS12" s="119">
        <v>0</v>
      </c>
      <c r="BT12" s="120">
        <f t="shared" si="3"/>
        <v>-13.497729318557845</v>
      </c>
    </row>
    <row r="13" spans="3:72" ht="15.75" x14ac:dyDescent="0.25">
      <c r="C13" s="121" t="s">
        <v>24</v>
      </c>
      <c r="D13" s="116">
        <v>4.0945</v>
      </c>
      <c r="E13" s="116">
        <v>0.17</v>
      </c>
      <c r="F13" s="116">
        <v>5.45E-2</v>
      </c>
      <c r="G13" s="116">
        <v>7.4999999999999997E-3</v>
      </c>
      <c r="H13" s="116">
        <v>1E-3</v>
      </c>
      <c r="I13" s="116">
        <v>0</v>
      </c>
      <c r="J13" s="116">
        <v>0.26269999999999999</v>
      </c>
      <c r="K13" s="116">
        <v>0</v>
      </c>
      <c r="L13" s="116">
        <v>8.4500000000000006E-2</v>
      </c>
      <c r="M13" s="116">
        <v>6.0000000000000001E-3</v>
      </c>
      <c r="N13" s="116">
        <v>0</v>
      </c>
      <c r="O13" s="116">
        <v>0.48150000000000004</v>
      </c>
      <c r="P13" s="116">
        <v>0.3755</v>
      </c>
      <c r="Q13" s="116">
        <v>0</v>
      </c>
      <c r="R13" s="116">
        <v>3.3000000000000002E-2</v>
      </c>
      <c r="S13" s="116">
        <v>0.96031140470292564</v>
      </c>
      <c r="T13" s="116">
        <v>0.01</v>
      </c>
      <c r="U13" s="116">
        <v>8.0000000000000007E-7</v>
      </c>
      <c r="V13" s="116">
        <v>7.0000000000000001E-3</v>
      </c>
      <c r="W13" s="117">
        <v>0.1113</v>
      </c>
      <c r="X13" s="116">
        <v>3.9E-2</v>
      </c>
      <c r="Y13" s="116">
        <v>0</v>
      </c>
      <c r="Z13" s="116">
        <v>4.4999999999999998E-2</v>
      </c>
      <c r="AA13" s="116">
        <v>0</v>
      </c>
      <c r="AB13" s="116">
        <v>1.3640772170607491E-3</v>
      </c>
      <c r="AC13" s="116">
        <v>0</v>
      </c>
      <c r="AD13" s="116">
        <v>4.3999999999999997E-2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5.6800000000000003E-2</v>
      </c>
      <c r="AM13" s="119">
        <v>0</v>
      </c>
      <c r="AN13" s="113">
        <v>0.26095953583717346</v>
      </c>
      <c r="AO13" s="119">
        <v>0</v>
      </c>
      <c r="AP13" s="119">
        <v>0</v>
      </c>
      <c r="AQ13" s="113">
        <v>0.29209718108177185</v>
      </c>
      <c r="AR13" s="113">
        <v>4.2850442230701447E-2</v>
      </c>
      <c r="AS13" s="113">
        <v>7.4988268315792084E-2</v>
      </c>
      <c r="AT13" s="113">
        <v>1.3569306582212448E-2</v>
      </c>
      <c r="AU13" s="113">
        <v>0.61293154954910278</v>
      </c>
      <c r="AV13" s="119">
        <v>0</v>
      </c>
      <c r="AW13" s="119">
        <v>0</v>
      </c>
      <c r="AX13" s="119">
        <v>0</v>
      </c>
      <c r="AY13" s="119"/>
      <c r="AZ13" s="119"/>
      <c r="BA13" s="113">
        <v>-1.2883708477020264</v>
      </c>
      <c r="BB13" s="113">
        <v>-2.089674711227417</v>
      </c>
      <c r="BC13" s="113">
        <v>-23.371362686157227</v>
      </c>
      <c r="BD13" s="119">
        <v>0</v>
      </c>
      <c r="BE13" s="119">
        <v>0</v>
      </c>
      <c r="BF13" s="119">
        <v>0</v>
      </c>
      <c r="BG13" s="119">
        <v>0</v>
      </c>
      <c r="BH13" s="119">
        <v>0</v>
      </c>
      <c r="BI13" s="113">
        <v>0.31994995474815369</v>
      </c>
      <c r="BJ13" s="119">
        <v>0</v>
      </c>
      <c r="BK13" s="119">
        <v>0</v>
      </c>
      <c r="BL13" s="119">
        <v>0</v>
      </c>
      <c r="BM13" s="119">
        <v>0</v>
      </c>
      <c r="BN13" s="119">
        <v>0</v>
      </c>
      <c r="BO13" s="119">
        <v>0</v>
      </c>
      <c r="BP13" s="119">
        <v>0</v>
      </c>
      <c r="BQ13" s="119">
        <v>0</v>
      </c>
      <c r="BR13" s="119">
        <v>0</v>
      </c>
      <c r="BS13" s="119">
        <v>0</v>
      </c>
      <c r="BT13" s="120">
        <f t="shared" si="3"/>
        <v>-18.286585724821776</v>
      </c>
    </row>
    <row r="14" spans="3:72" ht="15.75" x14ac:dyDescent="0.25">
      <c r="C14" s="121" t="s">
        <v>25</v>
      </c>
      <c r="D14" s="116">
        <v>4.1135000000000002</v>
      </c>
      <c r="E14" s="116">
        <v>0.183</v>
      </c>
      <c r="F14" s="116">
        <v>8.9499999999999996E-2</v>
      </c>
      <c r="G14" s="116">
        <v>1.6E-2</v>
      </c>
      <c r="H14" s="116">
        <v>1E-3</v>
      </c>
      <c r="I14" s="116">
        <v>0</v>
      </c>
      <c r="J14" s="116">
        <v>0.25829999999999997</v>
      </c>
      <c r="K14" s="116">
        <v>0</v>
      </c>
      <c r="L14" s="116">
        <v>8.6499999999999994E-2</v>
      </c>
      <c r="M14" s="116">
        <v>8.0000000000000002E-3</v>
      </c>
      <c r="N14" s="116">
        <v>0</v>
      </c>
      <c r="O14" s="116">
        <v>0.49049999999999999</v>
      </c>
      <c r="P14" s="116">
        <v>0.36899999999999999</v>
      </c>
      <c r="Q14" s="116">
        <v>0</v>
      </c>
      <c r="R14" s="116">
        <v>3.3000000000000002E-2</v>
      </c>
      <c r="S14" s="116">
        <v>1.1431329581812282</v>
      </c>
      <c r="T14" s="116">
        <v>1.2E-2</v>
      </c>
      <c r="U14" s="116">
        <v>9.9999999999999995E-7</v>
      </c>
      <c r="V14" s="116">
        <v>7.0000000000000001E-3</v>
      </c>
      <c r="W14" s="117">
        <v>0.112</v>
      </c>
      <c r="X14" s="116">
        <v>3.9E-2</v>
      </c>
      <c r="Y14" s="116">
        <v>0</v>
      </c>
      <c r="Z14" s="116">
        <v>4.4999999999999998E-2</v>
      </c>
      <c r="AA14" s="116">
        <v>0</v>
      </c>
      <c r="AB14" s="116">
        <v>1.3640772170607491E-3</v>
      </c>
      <c r="AC14" s="116">
        <v>0</v>
      </c>
      <c r="AD14" s="116">
        <v>5.1000000000000004E-2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6.1199999999999997E-2</v>
      </c>
      <c r="AM14" s="119">
        <v>0</v>
      </c>
      <c r="AN14" s="113">
        <v>0.20482540130615234</v>
      </c>
      <c r="AO14" s="119">
        <v>0</v>
      </c>
      <c r="AP14" s="119">
        <v>0</v>
      </c>
      <c r="AQ14" s="113">
        <v>0.3056664764881134</v>
      </c>
      <c r="AR14" s="113">
        <v>3.7851221859455109E-2</v>
      </c>
      <c r="AS14" s="113">
        <v>7.4988268315792084E-2</v>
      </c>
      <c r="AT14" s="113">
        <v>1.3569306582212448E-2</v>
      </c>
      <c r="AU14" s="113">
        <v>0.60674655437469482</v>
      </c>
      <c r="AV14" s="119">
        <v>0</v>
      </c>
      <c r="AW14" s="119">
        <v>0</v>
      </c>
      <c r="AX14" s="119">
        <v>0</v>
      </c>
      <c r="AY14" s="119"/>
      <c r="AZ14" s="119"/>
      <c r="BA14" s="113">
        <v>-1.2648031711578369</v>
      </c>
      <c r="BB14" s="113">
        <v>-1.987547755241394</v>
      </c>
      <c r="BC14" s="113">
        <v>-27.228618621826172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3">
        <v>0.31661716103553772</v>
      </c>
      <c r="BJ14" s="119">
        <v>0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20">
        <f t="shared" si="3"/>
        <v>-21.800707122865155</v>
      </c>
    </row>
    <row r="15" spans="3:72" s="8" customFormat="1" ht="15.75" x14ac:dyDescent="0.25">
      <c r="C15" s="121" t="s">
        <v>26</v>
      </c>
      <c r="D15" s="116">
        <v>4.0755999999999997</v>
      </c>
      <c r="E15" s="116">
        <v>0.157</v>
      </c>
      <c r="F15" s="116">
        <v>0.15849999999999997</v>
      </c>
      <c r="G15" s="116">
        <v>1.55E-2</v>
      </c>
      <c r="H15" s="116">
        <v>1.1999999999999999E-3</v>
      </c>
      <c r="I15" s="116">
        <v>0</v>
      </c>
      <c r="J15" s="116">
        <v>0.2601</v>
      </c>
      <c r="K15" s="116">
        <v>0</v>
      </c>
      <c r="L15" s="116">
        <v>0.1125</v>
      </c>
      <c r="M15" s="116">
        <v>7.4999999999999997E-3</v>
      </c>
      <c r="N15" s="116">
        <v>0</v>
      </c>
      <c r="O15" s="116">
        <v>0.55200000000000005</v>
      </c>
      <c r="P15" s="116">
        <v>0.37530000000000002</v>
      </c>
      <c r="Q15" s="116">
        <v>0</v>
      </c>
      <c r="R15" s="116">
        <v>3.5000000000000003E-2</v>
      </c>
      <c r="S15" s="116">
        <v>1.0996176083926479</v>
      </c>
      <c r="T15" s="116">
        <v>1.2999999999999999E-2</v>
      </c>
      <c r="U15" s="116">
        <v>8.0000000000000007E-7</v>
      </c>
      <c r="V15" s="116">
        <v>8.5000000000000006E-3</v>
      </c>
      <c r="W15" s="117">
        <v>0.12</v>
      </c>
      <c r="X15" s="116">
        <v>4.1000000000000002E-2</v>
      </c>
      <c r="Y15" s="116">
        <v>0</v>
      </c>
      <c r="Z15" s="116">
        <v>4.3999999999999997E-2</v>
      </c>
      <c r="AA15" s="116">
        <v>0</v>
      </c>
      <c r="AB15" s="116">
        <v>1.3640772170607491E-3</v>
      </c>
      <c r="AC15" s="116">
        <v>0</v>
      </c>
      <c r="AD15" s="116">
        <v>9.6000000000000002E-2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6.9800000000000001E-2</v>
      </c>
      <c r="AM15" s="119">
        <v>0</v>
      </c>
      <c r="AN15" s="113">
        <v>0.12855149805545807</v>
      </c>
      <c r="AO15" s="119">
        <v>0</v>
      </c>
      <c r="AP15" s="119">
        <v>0</v>
      </c>
      <c r="AQ15" s="113">
        <v>0.30209559202194214</v>
      </c>
      <c r="AR15" s="113">
        <v>3.8565397262573242E-2</v>
      </c>
      <c r="AS15" s="113">
        <v>7.427409291267395E-2</v>
      </c>
      <c r="AT15" s="113">
        <v>1.4283480122685432E-2</v>
      </c>
      <c r="AU15" s="113">
        <v>0.64509344100952148</v>
      </c>
      <c r="AV15" s="119">
        <v>0</v>
      </c>
      <c r="AW15" s="119">
        <v>0</v>
      </c>
      <c r="AX15" s="119">
        <v>0</v>
      </c>
      <c r="AY15" s="119"/>
      <c r="AZ15" s="119"/>
      <c r="BA15" s="113">
        <v>-1.8461412191390991</v>
      </c>
      <c r="BB15" s="113">
        <v>-2.1918017864227295</v>
      </c>
      <c r="BC15" s="113">
        <v>-26.026662826538086</v>
      </c>
      <c r="BD15" s="119">
        <v>0</v>
      </c>
      <c r="BE15" s="119">
        <v>0</v>
      </c>
      <c r="BF15" s="119">
        <v>0</v>
      </c>
      <c r="BG15" s="119">
        <v>0</v>
      </c>
      <c r="BH15" s="119">
        <v>0</v>
      </c>
      <c r="BI15" s="113">
        <v>0.31411755084991455</v>
      </c>
      <c r="BJ15" s="119">
        <v>0</v>
      </c>
      <c r="BK15" s="119">
        <v>0</v>
      </c>
      <c r="BL15" s="119">
        <v>0</v>
      </c>
      <c r="BM15" s="119">
        <v>0</v>
      </c>
      <c r="BN15" s="119">
        <v>0</v>
      </c>
      <c r="BO15" s="119">
        <v>0</v>
      </c>
      <c r="BP15" s="119">
        <v>0</v>
      </c>
      <c r="BQ15" s="119">
        <v>0</v>
      </c>
      <c r="BR15" s="119">
        <v>0</v>
      </c>
      <c r="BS15" s="119">
        <v>0</v>
      </c>
      <c r="BT15" s="120">
        <f t="shared" si="3"/>
        <v>-21.304142294255438</v>
      </c>
    </row>
    <row r="16" spans="3:72" s="8" customFormat="1" ht="15.75" x14ac:dyDescent="0.25">
      <c r="C16" s="121" t="s">
        <v>27</v>
      </c>
      <c r="D16" s="116">
        <v>4.0622999999999996</v>
      </c>
      <c r="E16" s="116">
        <v>0.26100000000000001</v>
      </c>
      <c r="F16" s="116">
        <v>0.1605</v>
      </c>
      <c r="G16" s="116">
        <v>3.5000000000000003E-2</v>
      </c>
      <c r="H16" s="116">
        <v>2E-3</v>
      </c>
      <c r="I16" s="116">
        <v>0</v>
      </c>
      <c r="J16" s="116">
        <v>0.26569999999999999</v>
      </c>
      <c r="K16" s="116">
        <v>0</v>
      </c>
      <c r="L16" s="116">
        <v>0.1221</v>
      </c>
      <c r="M16" s="116">
        <v>8.9999999999999993E-3</v>
      </c>
      <c r="N16" s="116">
        <v>0</v>
      </c>
      <c r="O16" s="116">
        <v>0.59450000000000003</v>
      </c>
      <c r="P16" s="116">
        <v>0.37669999999999998</v>
      </c>
      <c r="Q16" s="116">
        <v>0</v>
      </c>
      <c r="R16" s="116">
        <v>3.9E-2</v>
      </c>
      <c r="S16" s="116">
        <v>1.0111159688840281</v>
      </c>
      <c r="T16" s="116">
        <v>1.2E-2</v>
      </c>
      <c r="U16" s="116">
        <v>8.0000000000000007E-7</v>
      </c>
      <c r="V16" s="116">
        <v>1.4E-2</v>
      </c>
      <c r="W16" s="117">
        <v>0.1246</v>
      </c>
      <c r="X16" s="116">
        <v>2.8000000000000001E-2</v>
      </c>
      <c r="Y16" s="116">
        <v>0</v>
      </c>
      <c r="Z16" s="116">
        <v>4.5999999999999999E-2</v>
      </c>
      <c r="AA16" s="116">
        <v>0</v>
      </c>
      <c r="AB16" s="116">
        <v>1.3640772170607491E-3</v>
      </c>
      <c r="AC16" s="116">
        <v>0</v>
      </c>
      <c r="AD16" s="116">
        <v>0.23349999999999999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8.8499999999999995E-2</v>
      </c>
      <c r="AM16" s="119">
        <v>0</v>
      </c>
      <c r="AN16" s="113">
        <v>0.12298093736171722</v>
      </c>
      <c r="AO16" s="119">
        <v>0</v>
      </c>
      <c r="AP16" s="119">
        <v>0</v>
      </c>
      <c r="AQ16" s="113">
        <v>0.31066569685935974</v>
      </c>
      <c r="AR16" s="113">
        <v>3.7851221859455109E-2</v>
      </c>
      <c r="AS16" s="113">
        <v>7.427409291267395E-2</v>
      </c>
      <c r="AT16" s="113">
        <v>1.4283480122685432E-2</v>
      </c>
      <c r="AU16" s="113">
        <v>0.59499508142471313</v>
      </c>
      <c r="AV16" s="119">
        <v>0</v>
      </c>
      <c r="AW16" s="119">
        <v>0</v>
      </c>
      <c r="AX16" s="119">
        <v>0</v>
      </c>
      <c r="AY16" s="119"/>
      <c r="AZ16" s="119"/>
      <c r="BA16" s="113">
        <v>-1.9482681751251221</v>
      </c>
      <c r="BB16" s="113">
        <v>-2.5610299110412598</v>
      </c>
      <c r="BC16" s="113">
        <v>-22.161550521850586</v>
      </c>
      <c r="BD16" s="119">
        <v>0</v>
      </c>
      <c r="BE16" s="119">
        <v>0</v>
      </c>
      <c r="BF16" s="119">
        <v>0</v>
      </c>
      <c r="BG16" s="119">
        <v>0</v>
      </c>
      <c r="BH16" s="119">
        <v>0</v>
      </c>
      <c r="BI16" s="113">
        <v>0.30995151400566101</v>
      </c>
      <c r="BJ16" s="119">
        <v>0</v>
      </c>
      <c r="BK16" s="119">
        <v>0</v>
      </c>
      <c r="BL16" s="119">
        <v>0</v>
      </c>
      <c r="BM16" s="119">
        <v>0</v>
      </c>
      <c r="BN16" s="119">
        <v>0</v>
      </c>
      <c r="BO16" s="119">
        <v>0</v>
      </c>
      <c r="BP16" s="119">
        <v>0</v>
      </c>
      <c r="BQ16" s="119">
        <v>0</v>
      </c>
      <c r="BR16" s="119">
        <v>0</v>
      </c>
      <c r="BS16" s="119">
        <v>0</v>
      </c>
      <c r="BT16" s="120">
        <f t="shared" si="3"/>
        <v>-17.718965737369615</v>
      </c>
    </row>
    <row r="17" spans="3:72" s="8" customFormat="1" ht="15.75" x14ac:dyDescent="0.25">
      <c r="C17" s="121" t="s">
        <v>32</v>
      </c>
      <c r="D17" s="116">
        <v>4.0553999999999997</v>
      </c>
      <c r="E17" s="116">
        <v>0.25800000000000001</v>
      </c>
      <c r="F17" s="116">
        <v>0.13550000000000001</v>
      </c>
      <c r="G17" s="116">
        <v>3.85E-2</v>
      </c>
      <c r="H17" s="122">
        <v>2.5000000000000001E-3</v>
      </c>
      <c r="I17" s="116">
        <v>0</v>
      </c>
      <c r="J17" s="116">
        <v>0.26240000000000002</v>
      </c>
      <c r="K17" s="116">
        <v>0</v>
      </c>
      <c r="L17" s="116">
        <v>0.11799999999999999</v>
      </c>
      <c r="M17" s="116">
        <v>8.0000000000000002E-3</v>
      </c>
      <c r="N17" s="116">
        <v>0</v>
      </c>
      <c r="O17" s="116">
        <v>0.57700000000000007</v>
      </c>
      <c r="P17" s="116">
        <v>0.37519999999999998</v>
      </c>
      <c r="Q17" s="116">
        <v>0</v>
      </c>
      <c r="R17" s="116">
        <v>5.4500000000000007E-2</v>
      </c>
      <c r="S17" s="116">
        <v>1.0244462641763266</v>
      </c>
      <c r="T17" s="116">
        <v>1.2E-2</v>
      </c>
      <c r="U17" s="116">
        <v>8.0000000000000007E-7</v>
      </c>
      <c r="V17" s="116">
        <v>1.15E-2</v>
      </c>
      <c r="W17" s="117">
        <v>0.13500000000000001</v>
      </c>
      <c r="X17" s="116">
        <v>2.5999999999999999E-2</v>
      </c>
      <c r="Y17" s="116">
        <v>0</v>
      </c>
      <c r="Z17" s="116">
        <v>4.5999999999999999E-2</v>
      </c>
      <c r="AA17" s="116">
        <v>0</v>
      </c>
      <c r="AB17" s="116">
        <v>1.3640772170607491E-3</v>
      </c>
      <c r="AC17" s="116">
        <v>0</v>
      </c>
      <c r="AD17" s="116">
        <v>0.32550000000000001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8.5599999999999996E-2</v>
      </c>
      <c r="AM17" s="119">
        <v>0</v>
      </c>
      <c r="AN17" s="113">
        <v>0.19197024405002594</v>
      </c>
      <c r="AO17" s="119">
        <v>0</v>
      </c>
      <c r="AP17" s="119">
        <v>0</v>
      </c>
      <c r="AQ17" s="113">
        <v>0.3285200297832489</v>
      </c>
      <c r="AR17" s="113">
        <v>3.9279568940401077E-2</v>
      </c>
      <c r="AS17" s="113">
        <v>7.4988268315792084E-2</v>
      </c>
      <c r="AT17" s="113">
        <v>1.3569306582212448E-2</v>
      </c>
      <c r="AU17" s="113">
        <v>0.65622639656066895</v>
      </c>
      <c r="AV17" s="119">
        <v>0</v>
      </c>
      <c r="AW17" s="119">
        <v>0</v>
      </c>
      <c r="AX17" s="119">
        <v>0</v>
      </c>
      <c r="AY17" s="119"/>
      <c r="AZ17" s="119"/>
      <c r="BA17" s="113">
        <v>-1.4926248788833618</v>
      </c>
      <c r="BB17" s="113">
        <v>-2.4589030742645264</v>
      </c>
      <c r="BC17" s="113">
        <v>-20.590366363525391</v>
      </c>
      <c r="BD17" s="119">
        <v>0</v>
      </c>
      <c r="BE17" s="119">
        <v>0</v>
      </c>
      <c r="BF17" s="119">
        <v>0</v>
      </c>
      <c r="BG17" s="119">
        <v>0</v>
      </c>
      <c r="BH17" s="119">
        <v>0</v>
      </c>
      <c r="BI17" s="113">
        <v>0.31161794066429138</v>
      </c>
      <c r="BJ17" s="119">
        <v>0</v>
      </c>
      <c r="BK17" s="119">
        <v>0</v>
      </c>
      <c r="BL17" s="119">
        <v>0</v>
      </c>
      <c r="BM17" s="119">
        <v>0</v>
      </c>
      <c r="BN17" s="119">
        <v>0</v>
      </c>
      <c r="BO17" s="119">
        <v>0</v>
      </c>
      <c r="BP17" s="119">
        <v>0</v>
      </c>
      <c r="BQ17" s="119">
        <v>0</v>
      </c>
      <c r="BR17" s="119">
        <v>0</v>
      </c>
      <c r="BS17" s="119">
        <v>0</v>
      </c>
      <c r="BT17" s="120">
        <f t="shared" si="3"/>
        <v>-15.373311420383251</v>
      </c>
    </row>
    <row r="18" spans="3:72" s="8" customFormat="1" ht="15.75" x14ac:dyDescent="0.25">
      <c r="C18" s="121" t="s">
        <v>28</v>
      </c>
      <c r="D18" s="116">
        <v>4.0495000000000001</v>
      </c>
      <c r="E18" s="116">
        <v>0.27600000000000002</v>
      </c>
      <c r="F18" s="116">
        <v>0.1225</v>
      </c>
      <c r="G18" s="116">
        <v>4.2500000000000003E-2</v>
      </c>
      <c r="H18" s="122">
        <v>2.5000000000000001E-3</v>
      </c>
      <c r="I18" s="116">
        <v>0</v>
      </c>
      <c r="J18" s="116">
        <v>0.26279999999999998</v>
      </c>
      <c r="K18" s="116">
        <v>0</v>
      </c>
      <c r="L18" s="116">
        <v>0.106</v>
      </c>
      <c r="M18" s="116">
        <v>8.9999999999999993E-3</v>
      </c>
      <c r="N18" s="116">
        <v>0</v>
      </c>
      <c r="O18" s="116">
        <v>0.59250000000000003</v>
      </c>
      <c r="P18" s="116">
        <v>0.37659999999999999</v>
      </c>
      <c r="Q18" s="116">
        <v>0</v>
      </c>
      <c r="R18" s="116">
        <v>7.0000000000000007E-2</v>
      </c>
      <c r="S18" s="116">
        <v>0.97530779123365907</v>
      </c>
      <c r="T18" s="116">
        <v>1.2E-2</v>
      </c>
      <c r="U18" s="116">
        <v>8.0000000000000007E-7</v>
      </c>
      <c r="V18" s="116">
        <v>1.2E-2</v>
      </c>
      <c r="W18" s="117">
        <v>0.14019999999999999</v>
      </c>
      <c r="X18" s="116">
        <v>2.5000000000000001E-2</v>
      </c>
      <c r="Y18" s="116">
        <v>0</v>
      </c>
      <c r="Z18" s="116">
        <v>4.2673523556735198E-2</v>
      </c>
      <c r="AA18" s="116">
        <v>0</v>
      </c>
      <c r="AB18" s="116">
        <v>1.3640772170607491E-3</v>
      </c>
      <c r="AC18" s="116">
        <v>0</v>
      </c>
      <c r="AD18" s="116">
        <v>0.36649999999999999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7.0900000000000005E-2</v>
      </c>
      <c r="AM18" s="119">
        <v>0</v>
      </c>
      <c r="AN18" s="113">
        <v>0.27252918481826782</v>
      </c>
      <c r="AO18" s="119">
        <v>0</v>
      </c>
      <c r="AP18" s="119">
        <v>0</v>
      </c>
      <c r="AQ18" s="113">
        <v>0.32280665636062622</v>
      </c>
      <c r="AR18" s="113">
        <v>3.8565397262573242E-2</v>
      </c>
      <c r="AS18" s="113">
        <v>7.427409291267395E-2</v>
      </c>
      <c r="AT18" s="113">
        <v>1.4283480122685432E-2</v>
      </c>
      <c r="AU18" s="113">
        <v>0.66735935211181641</v>
      </c>
      <c r="AV18" s="119">
        <v>0</v>
      </c>
      <c r="AW18" s="119">
        <v>0</v>
      </c>
      <c r="AX18" s="119">
        <v>0</v>
      </c>
      <c r="AY18" s="119"/>
      <c r="AZ18" s="119"/>
      <c r="BA18" s="113">
        <v>-1.7125905752182007</v>
      </c>
      <c r="BB18" s="113">
        <v>-2.4353351593017578</v>
      </c>
      <c r="BC18" s="113">
        <v>-22.617193222045898</v>
      </c>
      <c r="BD18" s="119">
        <v>0</v>
      </c>
      <c r="BE18" s="119">
        <v>0</v>
      </c>
      <c r="BF18" s="119">
        <v>0</v>
      </c>
      <c r="BG18" s="119">
        <v>0</v>
      </c>
      <c r="BH18" s="119">
        <v>0</v>
      </c>
      <c r="BI18" s="113">
        <v>0.31245112419128418</v>
      </c>
      <c r="BJ18" s="119">
        <v>0</v>
      </c>
      <c r="BK18" s="119">
        <v>0</v>
      </c>
      <c r="BL18" s="119">
        <v>0</v>
      </c>
      <c r="BM18" s="119">
        <v>0</v>
      </c>
      <c r="BN18" s="119">
        <v>0</v>
      </c>
      <c r="BO18" s="119">
        <v>0</v>
      </c>
      <c r="BP18" s="119">
        <v>0</v>
      </c>
      <c r="BQ18" s="119">
        <v>0</v>
      </c>
      <c r="BR18" s="119">
        <v>0</v>
      </c>
      <c r="BS18" s="119">
        <v>0</v>
      </c>
      <c r="BT18" s="120">
        <f t="shared" si="3"/>
        <v>-17.507003476778472</v>
      </c>
    </row>
    <row r="19" spans="3:72" s="8" customFormat="1" ht="15.75" x14ac:dyDescent="0.25">
      <c r="C19" s="121" t="s">
        <v>29</v>
      </c>
      <c r="D19" s="116">
        <v>4.0358000000000001</v>
      </c>
      <c r="E19" s="116">
        <v>0.26900000000000002</v>
      </c>
      <c r="F19" s="116">
        <v>0.11799999999999999</v>
      </c>
      <c r="G19" s="116">
        <v>4.2500000000000003E-2</v>
      </c>
      <c r="H19" s="116">
        <v>2.5000000000000001E-3</v>
      </c>
      <c r="I19" s="116">
        <v>0</v>
      </c>
      <c r="J19" s="116">
        <v>0.26540000000000002</v>
      </c>
      <c r="K19" s="116">
        <v>0</v>
      </c>
      <c r="L19" s="116">
        <v>0.11600000000000001</v>
      </c>
      <c r="M19" s="116">
        <v>9.4999999999999998E-3</v>
      </c>
      <c r="N19" s="116">
        <v>0</v>
      </c>
      <c r="O19" s="116">
        <v>0.60099999999999998</v>
      </c>
      <c r="P19" s="116">
        <v>0.37690000000000001</v>
      </c>
      <c r="Q19" s="116">
        <v>0</v>
      </c>
      <c r="R19" s="116">
        <v>5.9500000000000011E-2</v>
      </c>
      <c r="S19" s="116">
        <v>1.0559172822983907</v>
      </c>
      <c r="T19" s="116">
        <v>1.4999999999999999E-2</v>
      </c>
      <c r="U19" s="116">
        <v>9.9999999999999995E-7</v>
      </c>
      <c r="V19" s="116">
        <v>1.2999999999999999E-2</v>
      </c>
      <c r="W19" s="117">
        <v>9.8000000000000004E-2</v>
      </c>
      <c r="X19" s="116">
        <v>2.7E-2</v>
      </c>
      <c r="Y19" s="116">
        <v>0</v>
      </c>
      <c r="Z19" s="116">
        <v>4.4999999999999998E-2</v>
      </c>
      <c r="AA19" s="116">
        <v>0</v>
      </c>
      <c r="AB19" s="116">
        <v>1.3640772170607491E-3</v>
      </c>
      <c r="AC19" s="116">
        <v>0</v>
      </c>
      <c r="AD19" s="116">
        <v>0.32600000000000001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7.1999999999999995E-2</v>
      </c>
      <c r="AM19" s="119">
        <v>0</v>
      </c>
      <c r="AN19" s="113">
        <v>0.17740108072757721</v>
      </c>
      <c r="AO19" s="119">
        <v>0</v>
      </c>
      <c r="AP19" s="119">
        <v>0</v>
      </c>
      <c r="AQ19" s="113">
        <v>0.31423655152320862</v>
      </c>
      <c r="AR19" s="113">
        <v>4.5707136392593384E-2</v>
      </c>
      <c r="AS19" s="113">
        <v>7.6416619122028351E-2</v>
      </c>
      <c r="AT19" s="113">
        <v>1.4283480122685432E-2</v>
      </c>
      <c r="AU19" s="113">
        <v>0.63396048545837402</v>
      </c>
      <c r="AV19" s="119">
        <v>0</v>
      </c>
      <c r="AW19" s="119">
        <v>0</v>
      </c>
      <c r="AX19" s="119">
        <v>0</v>
      </c>
      <c r="AY19" s="119"/>
      <c r="AZ19" s="119"/>
      <c r="BA19" s="113">
        <v>-2.1289544105529785</v>
      </c>
      <c r="BB19" s="113">
        <v>-2.5531740188598633</v>
      </c>
      <c r="BC19" s="113">
        <v>-25.916681289672852</v>
      </c>
      <c r="BD19" s="119">
        <v>0</v>
      </c>
      <c r="BE19" s="119">
        <v>0</v>
      </c>
      <c r="BF19" s="119">
        <v>0</v>
      </c>
      <c r="BG19" s="119">
        <v>0</v>
      </c>
      <c r="BH19" s="119">
        <v>0</v>
      </c>
      <c r="BI19" s="113">
        <v>0.3107847273349762</v>
      </c>
      <c r="BJ19" s="119">
        <v>0</v>
      </c>
      <c r="BK19" s="119">
        <v>0</v>
      </c>
      <c r="BL19" s="119">
        <v>0</v>
      </c>
      <c r="BM19" s="119">
        <v>0</v>
      </c>
      <c r="BN19" s="119">
        <v>0</v>
      </c>
      <c r="BO19" s="119">
        <v>0</v>
      </c>
      <c r="BP19" s="119">
        <v>0</v>
      </c>
      <c r="BQ19" s="119">
        <v>0</v>
      </c>
      <c r="BR19" s="119">
        <v>0</v>
      </c>
      <c r="BS19" s="119">
        <v>0</v>
      </c>
      <c r="BT19" s="120">
        <f t="shared" si="3"/>
        <v>-21.476637278888798</v>
      </c>
    </row>
    <row r="20" spans="3:72" s="8" customFormat="1" ht="15.75" x14ac:dyDescent="0.25">
      <c r="C20" s="121" t="s">
        <v>30</v>
      </c>
      <c r="D20" s="116">
        <v>4.0266000000000002</v>
      </c>
      <c r="E20" s="116">
        <v>0.26500000000000001</v>
      </c>
      <c r="F20" s="116">
        <v>0.1115</v>
      </c>
      <c r="G20" s="116">
        <v>4.5499999999999999E-2</v>
      </c>
      <c r="H20" s="116">
        <v>2.5000000000000001E-3</v>
      </c>
      <c r="I20" s="116">
        <v>0</v>
      </c>
      <c r="J20" s="116">
        <v>0.26629999999999998</v>
      </c>
      <c r="K20" s="116">
        <v>0</v>
      </c>
      <c r="L20" s="116">
        <v>0.1045</v>
      </c>
      <c r="M20" s="116">
        <v>8.5000000000000006E-3</v>
      </c>
      <c r="N20" s="116">
        <v>0</v>
      </c>
      <c r="O20" s="116">
        <v>0.67800000000000005</v>
      </c>
      <c r="P20" s="116">
        <v>0.377</v>
      </c>
      <c r="Q20" s="116">
        <v>0</v>
      </c>
      <c r="R20" s="116">
        <v>6.9999999999999993E-2</v>
      </c>
      <c r="S20" s="116">
        <v>0.96823120827855091</v>
      </c>
      <c r="T20" s="116">
        <v>1.4999999999999999E-2</v>
      </c>
      <c r="U20" s="116">
        <v>8.0000000000000007E-7</v>
      </c>
      <c r="V20" s="116">
        <v>1.26E-2</v>
      </c>
      <c r="W20" s="117">
        <v>8.7999999999999995E-2</v>
      </c>
      <c r="X20" s="116">
        <v>2.7E-2</v>
      </c>
      <c r="Y20" s="116">
        <v>0</v>
      </c>
      <c r="Z20" s="116">
        <v>4.3999999999999997E-2</v>
      </c>
      <c r="AA20" s="116">
        <v>0</v>
      </c>
      <c r="AB20" s="116">
        <v>1.3640772170607491E-3</v>
      </c>
      <c r="AC20" s="116">
        <v>0</v>
      </c>
      <c r="AD20" s="116">
        <v>0.248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7.1999999999999995E-2</v>
      </c>
      <c r="AM20" s="119">
        <v>0</v>
      </c>
      <c r="AN20" s="113">
        <v>0.18168611824512482</v>
      </c>
      <c r="AO20" s="119">
        <v>0</v>
      </c>
      <c r="AP20" s="119">
        <v>0</v>
      </c>
      <c r="AQ20" s="113">
        <v>0.32280665636062622</v>
      </c>
      <c r="AR20" s="113">
        <v>4.7135483473539352E-2</v>
      </c>
      <c r="AS20" s="113">
        <v>7.427409291267395E-2</v>
      </c>
      <c r="AT20" s="113">
        <v>1.4283480122685432E-2</v>
      </c>
      <c r="AU20" s="113">
        <v>0.65004140138626099</v>
      </c>
      <c r="AV20" s="119">
        <v>0</v>
      </c>
      <c r="AW20" s="119">
        <v>0</v>
      </c>
      <c r="AX20" s="119">
        <v>0</v>
      </c>
      <c r="AY20" s="119"/>
      <c r="AZ20" s="119"/>
      <c r="BA20" s="113">
        <v>-2.0189714431762695</v>
      </c>
      <c r="BB20" s="113">
        <v>-2.4981825351715088</v>
      </c>
      <c r="BC20" s="113">
        <v>-23.86628532409668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3">
        <v>0.3107847273349762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20">
        <f t="shared" si="3"/>
        <v>-19.350831257112958</v>
      </c>
    </row>
    <row r="21" spans="3:72" s="8" customFormat="1" ht="15.75" x14ac:dyDescent="0.25">
      <c r="C21" s="115" t="s">
        <v>8</v>
      </c>
      <c r="D21" s="116">
        <v>4.0433000000000003</v>
      </c>
      <c r="E21" s="116">
        <v>0.27600000000000002</v>
      </c>
      <c r="F21" s="116">
        <v>0.12000000000000001</v>
      </c>
      <c r="G21" s="116">
        <v>4.2500000000000003E-2</v>
      </c>
      <c r="H21" s="116">
        <v>2E-3</v>
      </c>
      <c r="I21" s="116">
        <v>0</v>
      </c>
      <c r="J21" s="116">
        <v>0.26590000000000003</v>
      </c>
      <c r="K21" s="116">
        <v>0</v>
      </c>
      <c r="L21" s="116">
        <v>0.1095</v>
      </c>
      <c r="M21" s="116">
        <v>1.4999999999999999E-2</v>
      </c>
      <c r="N21" s="116">
        <v>0</v>
      </c>
      <c r="O21" s="116">
        <v>0.65600000000000003</v>
      </c>
      <c r="P21" s="116">
        <v>0.37709999999999999</v>
      </c>
      <c r="Q21" s="116">
        <v>0</v>
      </c>
      <c r="R21" s="116">
        <v>7.2000000000000008E-2</v>
      </c>
      <c r="S21" s="116">
        <v>1.0083895903306845</v>
      </c>
      <c r="T21" s="116">
        <v>1.2E-2</v>
      </c>
      <c r="U21" s="116">
        <v>8.0000000000000007E-7</v>
      </c>
      <c r="V21" s="116">
        <v>1.2500000000000001E-2</v>
      </c>
      <c r="W21" s="117">
        <v>0.10100000000000001</v>
      </c>
      <c r="X21" s="116">
        <v>2.5999999999999999E-2</v>
      </c>
      <c r="Y21" s="116">
        <v>0</v>
      </c>
      <c r="Z21" s="116">
        <v>4.2999999999999997E-2</v>
      </c>
      <c r="AA21" s="116">
        <v>0</v>
      </c>
      <c r="AB21" s="116">
        <v>1.3640772170607491E-3</v>
      </c>
      <c r="AC21" s="116">
        <v>0</v>
      </c>
      <c r="AD21" s="116">
        <v>0.30649999999999999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7.1999999999999995E-2</v>
      </c>
      <c r="AM21" s="119">
        <v>0</v>
      </c>
      <c r="AN21" s="113">
        <v>0.19539828598499298</v>
      </c>
      <c r="AO21" s="119">
        <v>0</v>
      </c>
      <c r="AP21" s="119">
        <v>0</v>
      </c>
      <c r="AQ21" s="113">
        <v>0.31352239847183228</v>
      </c>
      <c r="AR21" s="113">
        <v>3.8565397262573242E-2</v>
      </c>
      <c r="AS21" s="113">
        <v>7.427409291267395E-2</v>
      </c>
      <c r="AT21" s="113">
        <v>1.4283480122685432E-2</v>
      </c>
      <c r="AU21" s="113">
        <v>0.63086795806884766</v>
      </c>
      <c r="AV21" s="119">
        <v>0</v>
      </c>
      <c r="AW21" s="119">
        <v>0</v>
      </c>
      <c r="AX21" s="119">
        <v>0</v>
      </c>
      <c r="AY21" s="119"/>
      <c r="AZ21" s="119"/>
      <c r="BA21" s="113">
        <v>-1.7990057468414307</v>
      </c>
      <c r="BB21" s="113">
        <v>-2.5453181266784668</v>
      </c>
      <c r="BC21" s="113">
        <v>-22.821447372436523</v>
      </c>
      <c r="BD21" s="119">
        <v>0</v>
      </c>
      <c r="BE21" s="119">
        <v>0</v>
      </c>
      <c r="BF21" s="119">
        <v>0</v>
      </c>
      <c r="BG21" s="119">
        <v>0</v>
      </c>
      <c r="BH21" s="119">
        <v>0</v>
      </c>
      <c r="BI21" s="113">
        <v>0.31161794066429138</v>
      </c>
      <c r="BJ21" s="119">
        <v>0</v>
      </c>
      <c r="BK21" s="119">
        <v>0</v>
      </c>
      <c r="BL21" s="119">
        <v>0</v>
      </c>
      <c r="BM21" s="119">
        <v>0</v>
      </c>
      <c r="BN21" s="119">
        <v>0</v>
      </c>
      <c r="BO21" s="119">
        <v>0</v>
      </c>
      <c r="BP21" s="119">
        <v>0</v>
      </c>
      <c r="BQ21" s="119">
        <v>0</v>
      </c>
      <c r="BR21" s="119">
        <v>0</v>
      </c>
      <c r="BS21" s="119">
        <v>0</v>
      </c>
      <c r="BT21" s="120">
        <f t="shared" si="3"/>
        <v>-18.025187224920781</v>
      </c>
    </row>
    <row r="22" spans="3:72" s="8" customFormat="1" ht="15.75" x14ac:dyDescent="0.25">
      <c r="C22" s="115" t="s">
        <v>9</v>
      </c>
      <c r="D22" s="116">
        <v>4.0631000000000004</v>
      </c>
      <c r="E22" s="116">
        <v>0.28399999999999997</v>
      </c>
      <c r="F22" s="116">
        <v>0.13700000000000001</v>
      </c>
      <c r="G22" s="116">
        <v>3.85E-2</v>
      </c>
      <c r="H22" s="116">
        <v>2E-3</v>
      </c>
      <c r="I22" s="116">
        <v>0</v>
      </c>
      <c r="J22" s="116">
        <v>0.26169999999999999</v>
      </c>
      <c r="K22" s="116">
        <v>0</v>
      </c>
      <c r="L22" s="116">
        <v>0.10299999999999999</v>
      </c>
      <c r="M22" s="116">
        <v>1.4E-2</v>
      </c>
      <c r="N22" s="116">
        <v>0</v>
      </c>
      <c r="O22" s="116">
        <v>0.62450000000000006</v>
      </c>
      <c r="P22" s="116">
        <v>0.37690000000000001</v>
      </c>
      <c r="Q22" s="116">
        <v>0</v>
      </c>
      <c r="R22" s="116">
        <v>7.6500000000000012E-2</v>
      </c>
      <c r="S22" s="116">
        <v>0.99820363133741918</v>
      </c>
      <c r="T22" s="116">
        <v>1.2E-2</v>
      </c>
      <c r="U22" s="116">
        <v>8.0000000000000007E-7</v>
      </c>
      <c r="V22" s="116">
        <v>1.2500000000000001E-2</v>
      </c>
      <c r="W22" s="117">
        <v>0.1246</v>
      </c>
      <c r="X22" s="116">
        <v>2.4E-2</v>
      </c>
      <c r="Y22" s="116">
        <v>0</v>
      </c>
      <c r="Z22" s="116">
        <v>4.6673523556735201E-2</v>
      </c>
      <c r="AA22" s="116">
        <v>0</v>
      </c>
      <c r="AB22" s="116">
        <v>1.3640772170607491E-3</v>
      </c>
      <c r="AC22" s="116">
        <v>0</v>
      </c>
      <c r="AD22" s="116">
        <v>0.34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7.4999999999999997E-2</v>
      </c>
      <c r="AM22" s="119">
        <v>0</v>
      </c>
      <c r="AN22" s="113">
        <v>0.18297164142131805</v>
      </c>
      <c r="AO22" s="119">
        <v>0</v>
      </c>
      <c r="AP22" s="119">
        <v>0</v>
      </c>
      <c r="AQ22" s="113">
        <v>0.3370901346206665</v>
      </c>
      <c r="AR22" s="113">
        <v>3.9279568940401077E-2</v>
      </c>
      <c r="AS22" s="113">
        <v>7.6416619122028351E-2</v>
      </c>
      <c r="AT22" s="113">
        <v>1.4283480122685432E-2</v>
      </c>
      <c r="AU22" s="113">
        <v>0.64571189880371094</v>
      </c>
      <c r="AV22" s="119">
        <v>0</v>
      </c>
      <c r="AW22" s="119">
        <v>0</v>
      </c>
      <c r="AX22" s="119">
        <v>0</v>
      </c>
      <c r="AY22" s="119"/>
      <c r="AZ22" s="119"/>
      <c r="BA22" s="113">
        <v>-1.7361583709716797</v>
      </c>
      <c r="BB22" s="113">
        <v>-2.7181484699249268</v>
      </c>
      <c r="BC22" s="113">
        <v>-18.46141242980957</v>
      </c>
      <c r="BD22" s="119">
        <v>0</v>
      </c>
      <c r="BE22" s="119">
        <v>0</v>
      </c>
      <c r="BF22" s="119">
        <v>0</v>
      </c>
      <c r="BG22" s="119">
        <v>0</v>
      </c>
      <c r="BH22" s="119">
        <v>0</v>
      </c>
      <c r="BI22" s="113">
        <v>0.31578394770622253</v>
      </c>
      <c r="BJ22" s="119">
        <v>0</v>
      </c>
      <c r="BK22" s="119">
        <v>0</v>
      </c>
      <c r="BL22" s="119">
        <v>0</v>
      </c>
      <c r="BM22" s="119">
        <v>0</v>
      </c>
      <c r="BN22" s="119">
        <v>0</v>
      </c>
      <c r="BO22" s="119">
        <v>0</v>
      </c>
      <c r="BP22" s="119">
        <v>0</v>
      </c>
      <c r="BQ22" s="119">
        <v>0</v>
      </c>
      <c r="BR22" s="119">
        <v>0</v>
      </c>
      <c r="BS22" s="119">
        <v>0</v>
      </c>
      <c r="BT22" s="120">
        <f t="shared" si="3"/>
        <v>-13.688639947857929</v>
      </c>
    </row>
    <row r="23" spans="3:72" s="8" customFormat="1" ht="15.75" x14ac:dyDescent="0.25">
      <c r="C23" s="115" t="s">
        <v>10</v>
      </c>
      <c r="D23" s="116">
        <v>4.0887000000000002</v>
      </c>
      <c r="E23" s="116">
        <v>0.28199999999999997</v>
      </c>
      <c r="F23" s="116">
        <v>0.11</v>
      </c>
      <c r="G23" s="116">
        <v>3.7499999999999999E-2</v>
      </c>
      <c r="H23" s="116">
        <v>2E-3</v>
      </c>
      <c r="I23" s="116">
        <v>0</v>
      </c>
      <c r="J23" s="116">
        <v>0.26529999999999998</v>
      </c>
      <c r="K23" s="116">
        <v>0</v>
      </c>
      <c r="L23" s="116">
        <v>9.2499999999999999E-2</v>
      </c>
      <c r="M23" s="116">
        <v>1.4500000000000001E-2</v>
      </c>
      <c r="N23" s="116">
        <v>0</v>
      </c>
      <c r="O23" s="116">
        <v>0.57799999999999996</v>
      </c>
      <c r="P23" s="116">
        <v>0.36509999999999998</v>
      </c>
      <c r="Q23" s="116">
        <v>0</v>
      </c>
      <c r="R23" s="116">
        <v>6.8000000000000005E-2</v>
      </c>
      <c r="S23" s="116">
        <v>1.1492468294749161</v>
      </c>
      <c r="T23" s="116">
        <v>1.2999999999999999E-2</v>
      </c>
      <c r="U23" s="116">
        <v>8.0000000000000007E-7</v>
      </c>
      <c r="V23" s="116">
        <v>0.01</v>
      </c>
      <c r="W23" s="117">
        <v>0.13500000000000001</v>
      </c>
      <c r="X23" s="116">
        <v>3.1E-2</v>
      </c>
      <c r="Y23" s="116">
        <v>0</v>
      </c>
      <c r="Z23" s="116">
        <v>4.4999999999999998E-2</v>
      </c>
      <c r="AA23" s="116">
        <v>0</v>
      </c>
      <c r="AB23" s="116">
        <v>1.3640772170607491E-3</v>
      </c>
      <c r="AC23" s="116">
        <v>0</v>
      </c>
      <c r="AD23" s="116">
        <v>0.30499999999999999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8.3000000000000004E-2</v>
      </c>
      <c r="AM23" s="119">
        <v>0</v>
      </c>
      <c r="AN23" s="113">
        <v>0.15211927890777588</v>
      </c>
      <c r="AO23" s="119">
        <v>0</v>
      </c>
      <c r="AP23" s="119">
        <v>0</v>
      </c>
      <c r="AQ23" s="113">
        <v>0.33209091424942017</v>
      </c>
      <c r="AR23" s="113">
        <v>3.9993744343519211E-2</v>
      </c>
      <c r="AS23" s="113">
        <v>7.5702443718910217E-2</v>
      </c>
      <c r="AT23" s="113">
        <v>1.4283480122685432E-2</v>
      </c>
      <c r="AU23" s="113">
        <v>0.68715131282806396</v>
      </c>
      <c r="AV23" s="119">
        <v>0</v>
      </c>
      <c r="AW23" s="119">
        <v>0</v>
      </c>
      <c r="AX23" s="119">
        <v>0</v>
      </c>
      <c r="AY23" s="119"/>
      <c r="AZ23" s="119"/>
      <c r="BA23" s="113">
        <v>-1.7047346830368042</v>
      </c>
      <c r="BB23" s="113">
        <v>-2.4431910514831543</v>
      </c>
      <c r="BC23" s="113">
        <v>-17.353727340698242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  <c r="BI23" s="113">
        <v>0.31661716103553772</v>
      </c>
      <c r="BJ23" s="119">
        <v>0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20">
        <f t="shared" si="3"/>
        <v>-12.207483033320312</v>
      </c>
    </row>
    <row r="24" spans="3:72" s="8" customFormat="1" ht="15.75" x14ac:dyDescent="0.25">
      <c r="C24" s="115" t="s">
        <v>11</v>
      </c>
      <c r="D24" s="116">
        <v>4.1694000000000004</v>
      </c>
      <c r="E24" s="116">
        <v>0.28599999999999998</v>
      </c>
      <c r="F24" s="116">
        <v>0.10400000000000001</v>
      </c>
      <c r="G24" s="116">
        <v>2.7E-2</v>
      </c>
      <c r="H24" s="116">
        <v>1E-3</v>
      </c>
      <c r="I24" s="116">
        <v>0</v>
      </c>
      <c r="J24" s="116">
        <v>0.26629999999999998</v>
      </c>
      <c r="K24" s="116">
        <v>0</v>
      </c>
      <c r="L24" s="116">
        <v>9.4E-2</v>
      </c>
      <c r="M24" s="116">
        <v>1.35E-2</v>
      </c>
      <c r="N24" s="116">
        <v>0</v>
      </c>
      <c r="O24" s="116">
        <v>0.53049999999999997</v>
      </c>
      <c r="P24" s="116">
        <v>0.36</v>
      </c>
      <c r="Q24" s="116">
        <v>0</v>
      </c>
      <c r="R24" s="116">
        <v>5.6500000000000009E-2</v>
      </c>
      <c r="S24" s="116">
        <v>1.1373598189823397</v>
      </c>
      <c r="T24" s="116">
        <v>1.3000000000000001E-2</v>
      </c>
      <c r="U24" s="116">
        <v>9.9999999999999995E-7</v>
      </c>
      <c r="V24" s="116">
        <v>8.9999999999999993E-3</v>
      </c>
      <c r="W24" s="117">
        <v>0.14019999999999999</v>
      </c>
      <c r="X24" s="116">
        <v>0.04</v>
      </c>
      <c r="Y24" s="116">
        <v>0</v>
      </c>
      <c r="Z24" s="116">
        <v>4.4999999999999998E-2</v>
      </c>
      <c r="AA24" s="116">
        <v>0</v>
      </c>
      <c r="AB24" s="116">
        <v>1.3640772170607491E-3</v>
      </c>
      <c r="AC24" s="116">
        <v>0</v>
      </c>
      <c r="AD24" s="116">
        <v>0.16849999999999998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8.2799999999999999E-2</v>
      </c>
      <c r="AM24" s="119">
        <v>0</v>
      </c>
      <c r="AN24" s="113">
        <v>0.22796466946601868</v>
      </c>
      <c r="AO24" s="119">
        <v>0</v>
      </c>
      <c r="AP24" s="119">
        <v>0</v>
      </c>
      <c r="AQ24" s="113">
        <v>0.30423814058303833</v>
      </c>
      <c r="AR24" s="113">
        <v>3.9279568940401077E-2</v>
      </c>
      <c r="AS24" s="113">
        <v>7.427409291267395E-2</v>
      </c>
      <c r="AT24" s="113">
        <v>1.4997653663158417E-2</v>
      </c>
      <c r="AU24" s="113">
        <v>0.67292582988739014</v>
      </c>
      <c r="AV24" s="119">
        <v>0</v>
      </c>
      <c r="AW24" s="119">
        <v>0</v>
      </c>
      <c r="AX24" s="119">
        <v>0</v>
      </c>
      <c r="AY24" s="119"/>
      <c r="AZ24" s="119"/>
      <c r="BA24" s="113">
        <v>-1.4769129753112793</v>
      </c>
      <c r="BB24" s="113">
        <v>-2.2310812473297119</v>
      </c>
      <c r="BC24" s="113">
        <v>-23.45777702331543</v>
      </c>
      <c r="BD24" s="119">
        <v>0</v>
      </c>
      <c r="BE24" s="119">
        <v>0</v>
      </c>
      <c r="BF24" s="119">
        <v>0</v>
      </c>
      <c r="BG24" s="119">
        <v>0</v>
      </c>
      <c r="BH24" s="119">
        <v>0</v>
      </c>
      <c r="BI24" s="113">
        <v>0.31578394770622253</v>
      </c>
      <c r="BJ24" s="119">
        <v>0</v>
      </c>
      <c r="BK24" s="119">
        <v>0</v>
      </c>
      <c r="BL24" s="119">
        <v>0</v>
      </c>
      <c r="BM24" s="119">
        <v>0</v>
      </c>
      <c r="BN24" s="119">
        <v>0</v>
      </c>
      <c r="BO24" s="119">
        <v>0</v>
      </c>
      <c r="BP24" s="119">
        <v>0</v>
      </c>
      <c r="BQ24" s="119">
        <v>0</v>
      </c>
      <c r="BR24" s="119">
        <v>0</v>
      </c>
      <c r="BS24" s="119">
        <v>0</v>
      </c>
      <c r="BT24" s="120">
        <f t="shared" si="3"/>
        <v>-17.970882446598118</v>
      </c>
    </row>
    <row r="25" spans="3:72" s="8" customFormat="1" ht="15.75" x14ac:dyDescent="0.25">
      <c r="C25" s="115" t="s">
        <v>12</v>
      </c>
      <c r="D25" s="116">
        <v>4.1551</v>
      </c>
      <c r="E25" s="116">
        <v>0.25900000000000001</v>
      </c>
      <c r="F25" s="116">
        <v>9.5500000000000002E-2</v>
      </c>
      <c r="G25" s="116">
        <v>2.6499999999999999E-2</v>
      </c>
      <c r="H25" s="116">
        <v>1E-3</v>
      </c>
      <c r="I25" s="116">
        <v>0</v>
      </c>
      <c r="J25" s="116">
        <v>0.26</v>
      </c>
      <c r="K25" s="116">
        <v>0</v>
      </c>
      <c r="L25" s="116">
        <v>8.6999999999999994E-2</v>
      </c>
      <c r="M25" s="116">
        <v>1.2E-2</v>
      </c>
      <c r="N25" s="116">
        <v>0</v>
      </c>
      <c r="O25" s="116">
        <v>0.47349999999999998</v>
      </c>
      <c r="P25" s="116">
        <v>0.35780000000000001</v>
      </c>
      <c r="Q25" s="116">
        <v>0</v>
      </c>
      <c r="R25" s="116">
        <v>3.7999999999999999E-2</v>
      </c>
      <c r="S25" s="116">
        <v>1.1072796452686842</v>
      </c>
      <c r="T25" s="116">
        <v>7.0000000000000001E-3</v>
      </c>
      <c r="U25" s="116">
        <v>8.0000000000000007E-7</v>
      </c>
      <c r="V25" s="116">
        <v>7.0000000000000001E-3</v>
      </c>
      <c r="W25" s="117">
        <v>0.11</v>
      </c>
      <c r="X25" s="116">
        <v>4.0000000000000001E-3</v>
      </c>
      <c r="Y25" s="116">
        <v>0</v>
      </c>
      <c r="Z25" s="116">
        <v>4.2000000000000003E-2</v>
      </c>
      <c r="AA25" s="116">
        <v>0</v>
      </c>
      <c r="AB25" s="116">
        <v>1.3640772170607491E-3</v>
      </c>
      <c r="AC25" s="116">
        <v>0</v>
      </c>
      <c r="AD25" s="116">
        <v>0.1205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7.9100000000000004E-2</v>
      </c>
      <c r="AM25" s="119">
        <v>0</v>
      </c>
      <c r="AN25" s="113">
        <v>0.160260871052742</v>
      </c>
      <c r="AO25" s="119">
        <v>0</v>
      </c>
      <c r="AP25" s="119">
        <v>0</v>
      </c>
      <c r="AQ25" s="113">
        <v>0.28281289339065552</v>
      </c>
      <c r="AR25" s="113">
        <v>5.2848875522613525E-2</v>
      </c>
      <c r="AS25" s="113">
        <v>7.4988268315792084E-2</v>
      </c>
      <c r="AT25" s="113">
        <v>1.3569306582212448E-2</v>
      </c>
      <c r="AU25" s="113">
        <v>0.64076393842697144</v>
      </c>
      <c r="AV25" s="119">
        <v>0</v>
      </c>
      <c r="AW25" s="119">
        <v>0</v>
      </c>
      <c r="AX25" s="119">
        <v>0</v>
      </c>
      <c r="AY25" s="119"/>
      <c r="AZ25" s="119"/>
      <c r="BA25" s="113">
        <v>-1.4140655994415283</v>
      </c>
      <c r="BB25" s="113">
        <v>-2.2389371395111084</v>
      </c>
      <c r="BC25" s="113">
        <v>-17.966489791870117</v>
      </c>
      <c r="BD25" s="119">
        <v>0</v>
      </c>
      <c r="BE25" s="119">
        <v>0</v>
      </c>
      <c r="BF25" s="119">
        <v>0</v>
      </c>
      <c r="BG25" s="119">
        <v>0</v>
      </c>
      <c r="BH25" s="119">
        <v>0</v>
      </c>
      <c r="BI25" s="113">
        <v>0.31911677122116089</v>
      </c>
      <c r="BJ25" s="119">
        <v>0</v>
      </c>
      <c r="BK25" s="119">
        <v>0</v>
      </c>
      <c r="BL25" s="119">
        <v>0</v>
      </c>
      <c r="BM25" s="119">
        <v>0</v>
      </c>
      <c r="BN25" s="119">
        <v>0</v>
      </c>
      <c r="BO25" s="119">
        <v>0</v>
      </c>
      <c r="BP25" s="119">
        <v>0</v>
      </c>
      <c r="BQ25" s="119">
        <v>0</v>
      </c>
      <c r="BR25" s="119">
        <v>0</v>
      </c>
      <c r="BS25" s="119">
        <v>0</v>
      </c>
      <c r="BT25" s="120">
        <f t="shared" si="3"/>
        <v>-12.831487083824861</v>
      </c>
    </row>
    <row r="26" spans="3:72" s="8" customFormat="1" ht="15.75" x14ac:dyDescent="0.25">
      <c r="C26" s="115" t="s">
        <v>13</v>
      </c>
      <c r="D26" s="116">
        <v>4.1441999999999997</v>
      </c>
      <c r="E26" s="116">
        <v>0.28399999999999997</v>
      </c>
      <c r="F26" s="116">
        <v>0.10249999999999999</v>
      </c>
      <c r="G26" s="116">
        <v>0.02</v>
      </c>
      <c r="H26" s="116">
        <v>1E-3</v>
      </c>
      <c r="I26" s="116">
        <v>0</v>
      </c>
      <c r="J26" s="116">
        <v>0.25309999999999999</v>
      </c>
      <c r="K26" s="116">
        <v>0</v>
      </c>
      <c r="L26" s="116">
        <v>8.6499999999999994E-2</v>
      </c>
      <c r="M26" s="116">
        <v>1.0999999999999999E-2</v>
      </c>
      <c r="N26" s="116">
        <v>0</v>
      </c>
      <c r="O26" s="116">
        <v>0.46099999999999997</v>
      </c>
      <c r="P26" s="116">
        <v>0.35959999999999998</v>
      </c>
      <c r="Q26" s="116">
        <v>0</v>
      </c>
      <c r="R26" s="116">
        <v>3.2000000000000001E-2</v>
      </c>
      <c r="S26" s="116">
        <v>1.1313886586043145</v>
      </c>
      <c r="T26" s="116">
        <v>5.0000000000000001E-3</v>
      </c>
      <c r="U26" s="116">
        <v>8.0000000000000007E-7</v>
      </c>
      <c r="V26" s="116">
        <v>7.0000000000000001E-3</v>
      </c>
      <c r="W26" s="117">
        <v>0.1007</v>
      </c>
      <c r="X26" s="116">
        <v>4.0000000000000001E-3</v>
      </c>
      <c r="Y26" s="116">
        <v>0</v>
      </c>
      <c r="Z26" s="116">
        <v>4.1000000000000002E-2</v>
      </c>
      <c r="AA26" s="116">
        <v>0</v>
      </c>
      <c r="AB26" s="116">
        <v>1.3640772170607491E-3</v>
      </c>
      <c r="AC26" s="116">
        <v>0</v>
      </c>
      <c r="AD26" s="116">
        <v>0.14899999999999999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7.9200000000000007E-2</v>
      </c>
      <c r="AM26" s="119">
        <v>0</v>
      </c>
      <c r="AN26" s="113">
        <v>0.20911043882369995</v>
      </c>
      <c r="AO26" s="119">
        <v>0</v>
      </c>
      <c r="AP26" s="119">
        <v>0</v>
      </c>
      <c r="AQ26" s="113">
        <v>0.29995307326316833</v>
      </c>
      <c r="AR26" s="113">
        <v>5.9990614652633667E-2</v>
      </c>
      <c r="AS26" s="113">
        <v>7.2131574153900146E-2</v>
      </c>
      <c r="AT26" s="113">
        <v>1.3569306582212448E-2</v>
      </c>
      <c r="AU26" s="113">
        <v>0.62344598770141602</v>
      </c>
      <c r="AV26" s="119">
        <v>0</v>
      </c>
      <c r="AW26" s="119">
        <v>0</v>
      </c>
      <c r="AX26" s="119">
        <v>0</v>
      </c>
      <c r="AY26" s="119"/>
      <c r="AZ26" s="119"/>
      <c r="BA26" s="113">
        <v>-1.3197945356369019</v>
      </c>
      <c r="BB26" s="113">
        <v>-2.042539119720459</v>
      </c>
      <c r="BC26" s="113">
        <v>-16.411016464233398</v>
      </c>
      <c r="BD26" s="119">
        <v>0</v>
      </c>
      <c r="BE26" s="119">
        <v>0</v>
      </c>
      <c r="BF26" s="119">
        <v>0</v>
      </c>
      <c r="BG26" s="119">
        <v>0</v>
      </c>
      <c r="BH26" s="119">
        <v>0</v>
      </c>
      <c r="BI26" s="113">
        <v>0.32328277826309204</v>
      </c>
      <c r="BJ26" s="119">
        <v>0</v>
      </c>
      <c r="BK26" s="119">
        <v>0</v>
      </c>
      <c r="BL26" s="119">
        <v>0</v>
      </c>
      <c r="BM26" s="119">
        <v>0</v>
      </c>
      <c r="BN26" s="119">
        <v>0</v>
      </c>
      <c r="BO26" s="119">
        <v>0</v>
      </c>
      <c r="BP26" s="119">
        <v>0</v>
      </c>
      <c r="BQ26" s="119">
        <v>0</v>
      </c>
      <c r="BR26" s="119">
        <v>0</v>
      </c>
      <c r="BS26" s="119">
        <v>0</v>
      </c>
      <c r="BT26" s="120">
        <f t="shared" si="3"/>
        <v>-10.898312810329262</v>
      </c>
    </row>
    <row r="27" spans="3:72" s="8" customFormat="1" ht="15.75" x14ac:dyDescent="0.25">
      <c r="C27" s="115" t="s">
        <v>14</v>
      </c>
      <c r="D27" s="116">
        <v>4.1233000000000004</v>
      </c>
      <c r="E27" s="116">
        <v>0.19800000000000001</v>
      </c>
      <c r="F27" s="116">
        <v>0.10099999999999999</v>
      </c>
      <c r="G27" s="116">
        <v>1.7000000000000001E-2</v>
      </c>
      <c r="H27" s="116">
        <v>1E-3</v>
      </c>
      <c r="I27" s="116">
        <v>0</v>
      </c>
      <c r="J27" s="116">
        <v>0.25519999999999998</v>
      </c>
      <c r="K27" s="116">
        <v>0</v>
      </c>
      <c r="L27" s="116">
        <v>8.5999999999999993E-2</v>
      </c>
      <c r="M27" s="116">
        <v>0.01</v>
      </c>
      <c r="N27" s="116">
        <v>0</v>
      </c>
      <c r="O27" s="116">
        <v>0.48050000000000004</v>
      </c>
      <c r="P27" s="116">
        <v>0.36870000000000003</v>
      </c>
      <c r="Q27" s="116">
        <v>0</v>
      </c>
      <c r="R27" s="116">
        <v>3.6000000000000004E-2</v>
      </c>
      <c r="S27" s="116">
        <v>1.1360665502274192</v>
      </c>
      <c r="T27" s="116">
        <v>4.0000000000000001E-3</v>
      </c>
      <c r="U27" s="116">
        <v>9.9999999999999995E-7</v>
      </c>
      <c r="V27" s="116">
        <v>7.0000000000000001E-3</v>
      </c>
      <c r="W27" s="117">
        <v>0.1002</v>
      </c>
      <c r="X27" s="116">
        <v>4.0000000000000001E-3</v>
      </c>
      <c r="Y27" s="116">
        <v>0</v>
      </c>
      <c r="Z27" s="116">
        <v>4.2000000000000003E-2</v>
      </c>
      <c r="AA27" s="116">
        <v>0</v>
      </c>
      <c r="AB27" s="116">
        <v>1.3640772170607491E-3</v>
      </c>
      <c r="AC27" s="116">
        <v>0</v>
      </c>
      <c r="AD27" s="116">
        <v>6.3E-2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0</v>
      </c>
      <c r="AK27" s="118">
        <v>0</v>
      </c>
      <c r="AL27" s="118">
        <v>5.9700000000000003E-2</v>
      </c>
      <c r="AM27" s="119">
        <v>0</v>
      </c>
      <c r="AN27" s="113">
        <v>0.25067543983459473</v>
      </c>
      <c r="AO27" s="119">
        <v>0</v>
      </c>
      <c r="AP27" s="119">
        <v>0</v>
      </c>
      <c r="AQ27" s="113">
        <v>0.28352707624435425</v>
      </c>
      <c r="AR27" s="113">
        <v>5.9276442974805832E-2</v>
      </c>
      <c r="AS27" s="113">
        <v>7.1417398750782013E-2</v>
      </c>
      <c r="AT27" s="113">
        <v>1.3569306582212448E-2</v>
      </c>
      <c r="AU27" s="113">
        <v>0.68776977062225342</v>
      </c>
      <c r="AV27" s="119">
        <v>0</v>
      </c>
      <c r="AW27" s="119">
        <v>0</v>
      </c>
      <c r="AX27" s="119">
        <v>0</v>
      </c>
      <c r="AY27" s="119"/>
      <c r="AZ27" s="119"/>
      <c r="BA27" s="113">
        <v>-1.9796918630599976</v>
      </c>
      <c r="BB27" s="113">
        <v>-2.183945894241333</v>
      </c>
      <c r="BC27" s="113">
        <v>-18.272871017456055</v>
      </c>
      <c r="BD27" s="119">
        <v>0</v>
      </c>
      <c r="BE27" s="119">
        <v>0</v>
      </c>
      <c r="BF27" s="119">
        <v>0</v>
      </c>
      <c r="BG27" s="119">
        <v>0</v>
      </c>
      <c r="BH27" s="119">
        <v>0</v>
      </c>
      <c r="BI27" s="113">
        <v>0.31994995474815369</v>
      </c>
      <c r="BJ27" s="119">
        <v>0</v>
      </c>
      <c r="BK27" s="119">
        <v>0</v>
      </c>
      <c r="BL27" s="119">
        <v>0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20">
        <f t="shared" si="3"/>
        <v>-13.656291757555749</v>
      </c>
    </row>
    <row r="28" spans="3:72" s="8" customFormat="1" ht="15.75" x14ac:dyDescent="0.25">
      <c r="C28" s="115" t="s">
        <v>15</v>
      </c>
      <c r="D28" s="116">
        <v>4.1512000000000002</v>
      </c>
      <c r="E28" s="116">
        <v>0.20399999999999999</v>
      </c>
      <c r="F28" s="116">
        <v>8.8999999999999996E-2</v>
      </c>
      <c r="G28" s="116">
        <v>1.2E-2</v>
      </c>
      <c r="H28" s="116">
        <v>1E-3</v>
      </c>
      <c r="I28" s="116">
        <v>0</v>
      </c>
      <c r="J28" s="116">
        <v>0.24210000000000001</v>
      </c>
      <c r="K28" s="116">
        <v>0</v>
      </c>
      <c r="L28" s="116">
        <v>9.1999999999999998E-2</v>
      </c>
      <c r="M28" s="116">
        <v>1.0999999999999999E-2</v>
      </c>
      <c r="N28" s="116">
        <v>0</v>
      </c>
      <c r="O28" s="116">
        <v>0.53949999999999998</v>
      </c>
      <c r="P28" s="116">
        <v>0.36770000000000003</v>
      </c>
      <c r="Q28" s="116">
        <v>0</v>
      </c>
      <c r="R28" s="116">
        <v>3.7999999999999999E-2</v>
      </c>
      <c r="S28" s="116">
        <v>1.1420624958650203</v>
      </c>
      <c r="T28" s="116">
        <v>4.0000000000000001E-3</v>
      </c>
      <c r="U28" s="116">
        <v>8.0000000000000007E-7</v>
      </c>
      <c r="V28" s="116">
        <v>7.0000000000000001E-3</v>
      </c>
      <c r="W28" s="117">
        <v>0.111</v>
      </c>
      <c r="X28" s="122">
        <v>4.0000000000000001E-3</v>
      </c>
      <c r="Y28" s="116">
        <v>0</v>
      </c>
      <c r="Z28" s="116">
        <v>4.0673523556735203E-2</v>
      </c>
      <c r="AA28" s="116">
        <v>0</v>
      </c>
      <c r="AB28" s="116">
        <v>1.3640772170607491E-3</v>
      </c>
      <c r="AC28" s="116">
        <v>0</v>
      </c>
      <c r="AD28" s="116">
        <v>9.1999999999999998E-2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5.6500000000000002E-2</v>
      </c>
      <c r="AM28" s="119">
        <v>0</v>
      </c>
      <c r="AN28" s="113">
        <v>0.30509555339813232</v>
      </c>
      <c r="AO28" s="119">
        <v>0</v>
      </c>
      <c r="AP28" s="119">
        <v>0</v>
      </c>
      <c r="AQ28" s="113">
        <v>0.28067037463188171</v>
      </c>
      <c r="AR28" s="113">
        <v>5.9276442974805832E-2</v>
      </c>
      <c r="AS28" s="113">
        <v>7.1417398750782013E-2</v>
      </c>
      <c r="AT28" s="113">
        <v>1.3569306582212448E-2</v>
      </c>
      <c r="AU28" s="113">
        <v>0.71065419912338257</v>
      </c>
      <c r="AV28" s="119">
        <v>0</v>
      </c>
      <c r="AW28" s="119">
        <v>0</v>
      </c>
      <c r="AX28" s="119">
        <v>0</v>
      </c>
      <c r="AY28" s="119"/>
      <c r="AZ28" s="119"/>
      <c r="BA28" s="113">
        <v>-1.4140655994415283</v>
      </c>
      <c r="BB28" s="113">
        <v>-2.3017845153808594</v>
      </c>
      <c r="BC28" s="113">
        <v>-17.832939147949219</v>
      </c>
      <c r="BD28" s="119">
        <v>0</v>
      </c>
      <c r="BE28" s="119">
        <v>0</v>
      </c>
      <c r="BF28" s="119">
        <v>0</v>
      </c>
      <c r="BG28" s="119">
        <v>0</v>
      </c>
      <c r="BH28" s="119">
        <v>0</v>
      </c>
      <c r="BI28" s="113">
        <v>0.32078316807746887</v>
      </c>
      <c r="BJ28" s="119">
        <v>0</v>
      </c>
      <c r="BK28" s="119">
        <v>0</v>
      </c>
      <c r="BL28" s="119">
        <v>0</v>
      </c>
      <c r="BM28" s="119">
        <v>0</v>
      </c>
      <c r="BN28" s="119">
        <v>0</v>
      </c>
      <c r="BO28" s="119">
        <v>0</v>
      </c>
      <c r="BP28" s="119">
        <v>0</v>
      </c>
      <c r="BQ28" s="119">
        <v>0</v>
      </c>
      <c r="BR28" s="119">
        <v>0</v>
      </c>
      <c r="BS28" s="119">
        <v>0</v>
      </c>
      <c r="BT28" s="120">
        <f t="shared" si="3"/>
        <v>-12.581221922594127</v>
      </c>
    </row>
    <row r="29" spans="3:72" ht="15.75" x14ac:dyDescent="0.25">
      <c r="C29" s="115" t="s">
        <v>16</v>
      </c>
      <c r="D29" s="116">
        <v>4.1219999999999999</v>
      </c>
      <c r="E29" s="116">
        <v>0.20200000000000001</v>
      </c>
      <c r="F29" s="116">
        <v>0.10099999999999999</v>
      </c>
      <c r="G29" s="116">
        <v>6.0000000000000001E-3</v>
      </c>
      <c r="H29" s="116">
        <v>1E-3</v>
      </c>
      <c r="I29" s="116">
        <v>0</v>
      </c>
      <c r="J29" s="116">
        <v>0.24929999999999999</v>
      </c>
      <c r="K29" s="116">
        <v>0</v>
      </c>
      <c r="L29" s="116">
        <v>8.7499999999999994E-2</v>
      </c>
      <c r="M29" s="116">
        <v>1.0999999999999999E-2</v>
      </c>
      <c r="N29" s="116">
        <v>0</v>
      </c>
      <c r="O29" s="116">
        <v>0.52049999999999996</v>
      </c>
      <c r="P29" s="116">
        <v>0.36449999999999999</v>
      </c>
      <c r="Q29" s="116">
        <v>0</v>
      </c>
      <c r="R29" s="116">
        <v>4.3000000000000003E-2</v>
      </c>
      <c r="S29" s="116">
        <v>1.1099812385624517</v>
      </c>
      <c r="T29" s="116">
        <v>4.0000000000000001E-3</v>
      </c>
      <c r="U29" s="116">
        <v>8.0000000000000007E-7</v>
      </c>
      <c r="V29" s="116">
        <v>7.0000000000000001E-3</v>
      </c>
      <c r="W29" s="117">
        <v>0.12</v>
      </c>
      <c r="X29" s="116">
        <v>4.0000000000000001E-3</v>
      </c>
      <c r="Y29" s="116">
        <v>0</v>
      </c>
      <c r="Z29" s="116">
        <v>0.04</v>
      </c>
      <c r="AA29" s="116">
        <v>0</v>
      </c>
      <c r="AB29" s="116">
        <v>1.3640772170607491E-3</v>
      </c>
      <c r="AC29" s="116">
        <v>0</v>
      </c>
      <c r="AD29" s="116">
        <v>0.13150000000000001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>
        <v>0</v>
      </c>
      <c r="AK29" s="118">
        <v>0</v>
      </c>
      <c r="AL29" s="118">
        <v>5.9400000000000001E-2</v>
      </c>
      <c r="AM29" s="119">
        <v>0</v>
      </c>
      <c r="AN29" s="113">
        <v>0.25238946080207825</v>
      </c>
      <c r="AO29" s="119">
        <v>0</v>
      </c>
      <c r="AP29" s="119">
        <v>0</v>
      </c>
      <c r="AQ29" s="113">
        <v>0.28281289339065552</v>
      </c>
      <c r="AR29" s="113">
        <v>4.6421311795711517E-2</v>
      </c>
      <c r="AS29" s="113">
        <v>7.1417398750782013E-2</v>
      </c>
      <c r="AT29" s="113">
        <v>1.3569306582212448E-2</v>
      </c>
      <c r="AU29" s="113">
        <v>0.65127843618392944</v>
      </c>
      <c r="AV29" s="119">
        <v>0</v>
      </c>
      <c r="AW29" s="119">
        <v>0</v>
      </c>
      <c r="AX29" s="119">
        <v>0</v>
      </c>
      <c r="AY29" s="119"/>
      <c r="AZ29" s="119"/>
      <c r="BA29" s="113">
        <v>-1.5633281469345093</v>
      </c>
      <c r="BB29" s="113">
        <v>-1.9639800786972046</v>
      </c>
      <c r="BC29" s="113">
        <v>-16.104637145996094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3">
        <v>0.31994995474815369</v>
      </c>
      <c r="BJ29" s="119">
        <v>0</v>
      </c>
      <c r="BK29" s="119">
        <v>0</v>
      </c>
      <c r="BL29" s="119">
        <v>0</v>
      </c>
      <c r="BM29" s="119">
        <v>0</v>
      </c>
      <c r="BN29" s="119">
        <v>0</v>
      </c>
      <c r="BO29" s="119">
        <v>0</v>
      </c>
      <c r="BP29" s="119">
        <v>0</v>
      </c>
      <c r="BQ29" s="119">
        <v>0</v>
      </c>
      <c r="BR29" s="119">
        <v>0</v>
      </c>
      <c r="BS29" s="119">
        <v>0</v>
      </c>
      <c r="BT29" s="120">
        <f t="shared" si="3"/>
        <v>-10.809060493594773</v>
      </c>
    </row>
    <row r="30" spans="3:72" ht="15.75" x14ac:dyDescent="0.25">
      <c r="C30" s="115" t="s">
        <v>17</v>
      </c>
      <c r="D30" s="116">
        <v>4.1763000000000003</v>
      </c>
      <c r="E30" s="116">
        <v>0.22</v>
      </c>
      <c r="F30" s="116">
        <v>8.7999999999999995E-2</v>
      </c>
      <c r="G30" s="116">
        <v>6.0000000000000001E-3</v>
      </c>
      <c r="H30" s="116">
        <v>1E-3</v>
      </c>
      <c r="I30" s="116">
        <v>0</v>
      </c>
      <c r="J30" s="116">
        <v>0.24510000000000001</v>
      </c>
      <c r="K30" s="116">
        <v>0</v>
      </c>
      <c r="L30" s="116">
        <v>9.1499999999999998E-2</v>
      </c>
      <c r="M30" s="116">
        <v>1.0500000000000001E-2</v>
      </c>
      <c r="N30" s="116">
        <v>0</v>
      </c>
      <c r="O30" s="116">
        <v>0.53</v>
      </c>
      <c r="P30" s="116">
        <v>0.36649999999999999</v>
      </c>
      <c r="Q30" s="116">
        <v>0</v>
      </c>
      <c r="R30" s="116">
        <v>0.04</v>
      </c>
      <c r="S30" s="116">
        <v>1.105923761121151</v>
      </c>
      <c r="T30" s="116">
        <v>4.0000000000000001E-3</v>
      </c>
      <c r="U30" s="116">
        <v>9.9999999999999995E-7</v>
      </c>
      <c r="V30" s="116">
        <v>7.0000000000000001E-3</v>
      </c>
      <c r="W30" s="117">
        <v>0.1114</v>
      </c>
      <c r="X30" s="116">
        <v>4.0000000000000001E-3</v>
      </c>
      <c r="Y30" s="116">
        <v>0</v>
      </c>
      <c r="Z30" s="116">
        <v>4.3999999999999997E-2</v>
      </c>
      <c r="AA30" s="116">
        <v>0</v>
      </c>
      <c r="AB30" s="116">
        <v>1.3640772170607491E-3</v>
      </c>
      <c r="AC30" s="116">
        <v>0</v>
      </c>
      <c r="AD30" s="116">
        <v>0.1215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5.3199999999999997E-2</v>
      </c>
      <c r="AM30" s="119">
        <v>0</v>
      </c>
      <c r="AN30" s="113">
        <v>0.22068007290363312</v>
      </c>
      <c r="AO30" s="119">
        <v>0</v>
      </c>
      <c r="AP30" s="119">
        <v>0</v>
      </c>
      <c r="AQ30" s="113">
        <v>0.26495856046676636</v>
      </c>
      <c r="AR30" s="113">
        <v>4.2850442230701447E-2</v>
      </c>
      <c r="AS30" s="113">
        <v>7.5702443718910217E-2</v>
      </c>
      <c r="AT30" s="113">
        <v>1.3569306582212448E-2</v>
      </c>
      <c r="AU30" s="113">
        <v>0.67416286468505859</v>
      </c>
      <c r="AV30" s="119">
        <v>0</v>
      </c>
      <c r="AW30" s="119">
        <v>0</v>
      </c>
      <c r="AX30" s="119">
        <v>0</v>
      </c>
      <c r="AY30" s="119"/>
      <c r="AZ30" s="119"/>
      <c r="BA30" s="113">
        <v>-1.5004807710647583</v>
      </c>
      <c r="BB30" s="113">
        <v>-2.0975306034088135</v>
      </c>
      <c r="BC30" s="113">
        <v>-6.2768802642822266</v>
      </c>
      <c r="BD30" s="119">
        <v>0</v>
      </c>
      <c r="BE30" s="119">
        <v>0</v>
      </c>
      <c r="BF30" s="119">
        <v>0</v>
      </c>
      <c r="BG30" s="119">
        <v>0</v>
      </c>
      <c r="BH30" s="119">
        <v>0</v>
      </c>
      <c r="BI30" s="113">
        <v>0.26245895028114319</v>
      </c>
      <c r="BJ30" s="119">
        <v>0</v>
      </c>
      <c r="BK30" s="119">
        <v>0</v>
      </c>
      <c r="BL30" s="119">
        <v>0</v>
      </c>
      <c r="BM30" s="119">
        <v>0</v>
      </c>
      <c r="BN30" s="119">
        <v>0</v>
      </c>
      <c r="BO30" s="119">
        <v>0</v>
      </c>
      <c r="BP30" s="119">
        <v>0</v>
      </c>
      <c r="BQ30" s="119">
        <v>0</v>
      </c>
      <c r="BR30" s="119">
        <v>0</v>
      </c>
      <c r="BS30" s="119">
        <v>0</v>
      </c>
      <c r="BT30" s="120">
        <f t="shared" si="3"/>
        <v>-1.093220159549162</v>
      </c>
    </row>
    <row r="31" spans="3:72" ht="15.75" x14ac:dyDescent="0.25">
      <c r="C31" s="115" t="s">
        <v>18</v>
      </c>
      <c r="D31" s="116">
        <v>4.17</v>
      </c>
      <c r="E31" s="116">
        <v>0.22</v>
      </c>
      <c r="F31" s="116">
        <v>9.9999999999999978E-2</v>
      </c>
      <c r="G31" s="116">
        <v>5.0000000000000001E-3</v>
      </c>
      <c r="H31" s="116">
        <v>1E-3</v>
      </c>
      <c r="I31" s="116">
        <v>0</v>
      </c>
      <c r="J31" s="116">
        <v>0.24329999999999999</v>
      </c>
      <c r="K31" s="116">
        <v>0</v>
      </c>
      <c r="L31" s="116">
        <v>8.8499999999999995E-2</v>
      </c>
      <c r="M31" s="116">
        <v>8.5000000000000006E-3</v>
      </c>
      <c r="N31" s="116">
        <v>0</v>
      </c>
      <c r="O31" s="116">
        <v>0.49749999999999994</v>
      </c>
      <c r="P31" s="123">
        <v>0.36359999999999998</v>
      </c>
      <c r="Q31" s="116">
        <v>0</v>
      </c>
      <c r="R31" s="116">
        <v>4.2000000000000003E-2</v>
      </c>
      <c r="S31" s="116">
        <v>0.96588208746569948</v>
      </c>
      <c r="T31" s="116">
        <v>4.0000000000000001E-3</v>
      </c>
      <c r="U31" s="116">
        <v>8.0000000000000007E-7</v>
      </c>
      <c r="V31" s="116">
        <v>7.0000000000000001E-3</v>
      </c>
      <c r="W31" s="117">
        <v>0.112</v>
      </c>
      <c r="X31" s="116">
        <v>4.0000000000000001E-3</v>
      </c>
      <c r="Y31" s="116">
        <v>0</v>
      </c>
      <c r="Z31" s="116">
        <v>4.2035235567352003E-2</v>
      </c>
      <c r="AA31" s="116">
        <v>0</v>
      </c>
      <c r="AB31" s="116">
        <v>1.3640772170607491E-3</v>
      </c>
      <c r="AC31" s="116">
        <v>0</v>
      </c>
      <c r="AD31" s="116">
        <v>0.10400000000000001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5.3199999999999997E-2</v>
      </c>
      <c r="AM31" s="119">
        <v>0</v>
      </c>
      <c r="AN31" s="113">
        <v>0.18040060997009277</v>
      </c>
      <c r="AO31" s="119">
        <v>0</v>
      </c>
      <c r="AP31" s="119">
        <v>0</v>
      </c>
      <c r="AQ31" s="113">
        <v>0.26138767600059509</v>
      </c>
      <c r="AR31" s="113">
        <v>3.8565397262573242E-2</v>
      </c>
      <c r="AS31" s="113">
        <v>7.5702443718910217E-2</v>
      </c>
      <c r="AT31" s="113">
        <v>1.3569306582212448E-2</v>
      </c>
      <c r="AU31" s="113">
        <v>0.66983336210250854</v>
      </c>
      <c r="AV31" s="119">
        <v>0</v>
      </c>
      <c r="AW31" s="119">
        <v>0</v>
      </c>
      <c r="AX31" s="119">
        <v>0</v>
      </c>
      <c r="AY31" s="119"/>
      <c r="AZ31" s="119"/>
      <c r="BA31" s="113">
        <v>-1.4769129753112793</v>
      </c>
      <c r="BB31" s="113">
        <v>-2.0189714431762695</v>
      </c>
      <c r="BC31" s="113">
        <v>-10.825457572937012</v>
      </c>
      <c r="BD31" s="119">
        <v>0</v>
      </c>
      <c r="BE31" s="119">
        <v>0</v>
      </c>
      <c r="BF31" s="119">
        <v>0</v>
      </c>
      <c r="BG31" s="119">
        <v>0</v>
      </c>
      <c r="BH31" s="119">
        <v>0</v>
      </c>
      <c r="BI31" s="113">
        <v>0.26412534713745117</v>
      </c>
      <c r="BJ31" s="119">
        <v>0</v>
      </c>
      <c r="BK31" s="119">
        <v>0</v>
      </c>
      <c r="BL31" s="119">
        <v>0</v>
      </c>
      <c r="BM31" s="119">
        <v>0</v>
      </c>
      <c r="BN31" s="119">
        <v>0</v>
      </c>
      <c r="BO31" s="119">
        <v>0</v>
      </c>
      <c r="BP31" s="119">
        <v>0</v>
      </c>
      <c r="BQ31" s="119">
        <v>0</v>
      </c>
      <c r="BR31" s="119">
        <v>0</v>
      </c>
      <c r="BS31" s="119">
        <v>0</v>
      </c>
      <c r="BT31" s="120">
        <f t="shared" si="3"/>
        <v>-5.7848756484001083</v>
      </c>
    </row>
    <row r="32" spans="3:72" ht="23.25" customHeight="1" x14ac:dyDescent="0.25">
      <c r="C32" s="124" t="s">
        <v>41</v>
      </c>
      <c r="D32" s="125">
        <f>SUM(D8:D31)</f>
        <v>98.475700000000003</v>
      </c>
      <c r="E32" s="125">
        <f>SUM(E8:E31)</f>
        <v>5.4269999999999996</v>
      </c>
      <c r="F32" s="125">
        <f>SUM(F8:F31)</f>
        <v>2.4775000000000005</v>
      </c>
      <c r="G32" s="125">
        <f>SUM(G8:G31)</f>
        <v>0.51170000000000004</v>
      </c>
      <c r="H32" s="125">
        <f>SUM(H8:H31)</f>
        <v>3.4200000000000008E-2</v>
      </c>
      <c r="I32" s="125">
        <f t="shared" ref="I32:M32" si="4">SUM(I8:I31)</f>
        <v>0</v>
      </c>
      <c r="J32" s="125">
        <f t="shared" si="4"/>
        <v>6.1957999999999993</v>
      </c>
      <c r="K32" s="125">
        <f t="shared" si="4"/>
        <v>0</v>
      </c>
      <c r="L32" s="125">
        <f t="shared" si="4"/>
        <v>2.2988</v>
      </c>
      <c r="M32" s="125">
        <f t="shared" si="4"/>
        <v>0.22510000000000008</v>
      </c>
      <c r="N32" s="125">
        <f t="shared" ref="N32" si="5">SUM(N8:N31)</f>
        <v>0</v>
      </c>
      <c r="O32" s="125">
        <f t="shared" ref="O32" si="6">SUM(O8:O31)</f>
        <v>12.874499999999999</v>
      </c>
      <c r="P32" s="125">
        <f t="shared" ref="P32" si="7">SUM(P8:P31)</f>
        <v>8.8370000000000015</v>
      </c>
      <c r="Q32" s="125">
        <f t="shared" ref="Q32" si="8">SUM(Q8:Q31)</f>
        <v>0</v>
      </c>
      <c r="R32" s="125">
        <f t="shared" ref="R32" si="9">SUM(R8:R31)</f>
        <v>1.1310000000000002</v>
      </c>
      <c r="S32" s="125">
        <f t="shared" ref="S32" si="10">SUM(S8:S31)</f>
        <v>25.529392120247191</v>
      </c>
      <c r="T32" s="125">
        <f t="shared" ref="T32" si="11">SUM(T8:T31)</f>
        <v>0.18900000000000006</v>
      </c>
      <c r="U32" s="125">
        <f t="shared" ref="U32" si="12">SUM(U8:U31)</f>
        <v>2.0600000000000003E-5</v>
      </c>
      <c r="V32" s="125">
        <f t="shared" ref="V32" si="13">SUM(V8:V31)</f>
        <v>0.21160000000000007</v>
      </c>
      <c r="W32" s="125">
        <f t="shared" ref="W32" si="14">SUM(W8:W31)</f>
        <v>2.7440000000000007</v>
      </c>
      <c r="X32" s="125">
        <f t="shared" ref="X32" si="15">SUM(X8:X31)</f>
        <v>0.49520000000000014</v>
      </c>
      <c r="Y32" s="125">
        <f t="shared" ref="Y32" si="16">SUM(Y8:Y31)</f>
        <v>0</v>
      </c>
      <c r="Z32" s="125">
        <f t="shared" ref="Z32" si="17">SUM(Z8:Z31)</f>
        <v>1.0464028533510281</v>
      </c>
      <c r="AA32" s="125">
        <f t="shared" ref="AA32" si="18">SUM(AA8:AA31)</f>
        <v>0</v>
      </c>
      <c r="AB32" s="125">
        <f t="shared" ref="AB32" si="19">SUM(AB8:AB31)</f>
        <v>3.2737853209457983E-2</v>
      </c>
      <c r="AC32" s="125">
        <f t="shared" ref="AC32" si="20">SUM(AC8:AC31)</f>
        <v>0</v>
      </c>
      <c r="AD32" s="125">
        <f t="shared" ref="AD32" si="21">SUM(AD8:AD31)</f>
        <v>3.9855000000000005</v>
      </c>
      <c r="AE32" s="125">
        <f t="shared" ref="AE32" si="22">SUM(AE8:AE31)</f>
        <v>0</v>
      </c>
      <c r="AF32" s="125">
        <f t="shared" ref="AF32" si="23">SUM(AF8:AF31)</f>
        <v>0</v>
      </c>
      <c r="AG32" s="125">
        <f t="shared" ref="AG32" si="24">SUM(AG8:AG31)</f>
        <v>0</v>
      </c>
      <c r="AH32" s="125">
        <f t="shared" ref="AH32" si="25">SUM(AH8:AH31)</f>
        <v>0</v>
      </c>
      <c r="AI32" s="125">
        <f t="shared" ref="AI32" si="26">SUM(AI8:AI31)</f>
        <v>0</v>
      </c>
      <c r="AJ32" s="125">
        <f t="shared" ref="AJ32" si="27">SUM(AJ8:AJ31)</f>
        <v>0</v>
      </c>
      <c r="AK32" s="125">
        <f t="shared" ref="AK32" si="28">SUM(AK8:AK31)</f>
        <v>0</v>
      </c>
      <c r="AL32" s="125">
        <f t="shared" ref="AL32" si="29">SUM(AL8:AL31)</f>
        <v>1.6206999999999996</v>
      </c>
      <c r="AM32" s="125">
        <f t="shared" ref="AM32" si="30">SUM(AM8:AM31)</f>
        <v>0</v>
      </c>
      <c r="AN32" s="125">
        <f t="shared" ref="AN32" si="31">SUM(AN8:AN31)</f>
        <v>4.8781010359525681</v>
      </c>
      <c r="AO32" s="125">
        <f t="shared" ref="AO32" si="32">SUM(AO8:AO31)</f>
        <v>0</v>
      </c>
      <c r="AP32" s="125">
        <f t="shared" ref="AP32" si="33">SUM(AP8:AP31)</f>
        <v>0</v>
      </c>
      <c r="AQ32" s="125">
        <f t="shared" ref="AQ32" si="34">SUM(AQ8:AQ31)</f>
        <v>7.1603085696697235</v>
      </c>
      <c r="AR32" s="125">
        <f t="shared" ref="AR32" si="35">SUM(AR8:AR31)</f>
        <v>1.0469790957868099</v>
      </c>
      <c r="AS32" s="125">
        <f t="shared" ref="AS32" si="36">SUM(AS8:AS31)</f>
        <v>1.7932908907532692</v>
      </c>
      <c r="AT32" s="125">
        <f t="shared" ref="AT32" si="37">SUM(AT8:AT31)</f>
        <v>0.3328050933778286</v>
      </c>
      <c r="AU32" s="125">
        <f t="shared" ref="AU32" si="38">SUM(AU8:AU31)</f>
        <v>15.503889739513397</v>
      </c>
      <c r="AV32" s="125">
        <f t="shared" ref="AV32" si="39">SUM(AV8:AV31)</f>
        <v>0</v>
      </c>
      <c r="AW32" s="125">
        <f t="shared" ref="AW32" si="40">SUM(AW8:AW31)</f>
        <v>0</v>
      </c>
      <c r="AX32" s="125">
        <f t="shared" ref="AX32" si="41">SUM(AX8:AX31)</f>
        <v>0</v>
      </c>
      <c r="AY32" s="125">
        <f t="shared" ref="AY32" si="42">SUM(AY8:AY31)</f>
        <v>0</v>
      </c>
      <c r="AZ32" s="125">
        <f t="shared" ref="AZ32" si="43">SUM(AZ8:AZ31)</f>
        <v>0</v>
      </c>
      <c r="BA32" s="125">
        <f t="shared" ref="BA32" si="44">SUM(BA8:BA31)</f>
        <v>-39.083202838897705</v>
      </c>
      <c r="BB32" s="125">
        <f t="shared" ref="BB32" si="45">SUM(BB8:BB31)</f>
        <v>-53.506671667098999</v>
      </c>
      <c r="BC32" s="125">
        <f t="shared" ref="BC32" si="46">SUM(BC8:BC31)</f>
        <v>-424.93457412719727</v>
      </c>
      <c r="BD32" s="125">
        <f t="shared" ref="BD32" si="47">SUM(BD8:BD31)</f>
        <v>0</v>
      </c>
      <c r="BE32" s="125">
        <f t="shared" ref="BE32" si="48">SUM(BE8:BE31)</f>
        <v>0</v>
      </c>
      <c r="BF32" s="125">
        <f t="shared" ref="BF32" si="49">SUM(BF8:BF31)</f>
        <v>0</v>
      </c>
      <c r="BG32" s="125">
        <f t="shared" ref="BG32" si="50">SUM(BG8:BG31)</f>
        <v>0</v>
      </c>
      <c r="BH32" s="125">
        <f t="shared" ref="BH32" si="51">SUM(BH8:BH31)</f>
        <v>0</v>
      </c>
      <c r="BI32" s="125">
        <f t="shared" ref="BI32" si="52">SUM(BI8:BI31)</f>
        <v>7.4921616017818451</v>
      </c>
      <c r="BJ32" s="125">
        <f t="shared" ref="BJ32" si="53">SUM(BJ8:BJ31)</f>
        <v>0</v>
      </c>
      <c r="BK32" s="125">
        <f t="shared" ref="BK32" si="54">SUM(BK8:BK31)</f>
        <v>0</v>
      </c>
      <c r="BL32" s="125">
        <f t="shared" ref="BL32" si="55">SUM(BL8:BL31)</f>
        <v>0</v>
      </c>
      <c r="BM32" s="125">
        <f t="shared" ref="BM32" si="56">SUM(BM8:BM31)</f>
        <v>0</v>
      </c>
      <c r="BN32" s="125">
        <f t="shared" ref="BN32" si="57">SUM(BN8:BN31)</f>
        <v>0</v>
      </c>
      <c r="BO32" s="125">
        <f t="shared" ref="BO32" si="58">SUM(BO8:BO31)</f>
        <v>0</v>
      </c>
      <c r="BP32" s="125">
        <f t="shared" ref="BP32" si="59">SUM(BP8:BP31)</f>
        <v>0</v>
      </c>
      <c r="BQ32" s="125">
        <f t="shared" ref="BQ32" si="60">SUM(BQ8:BQ31)</f>
        <v>0</v>
      </c>
      <c r="BR32" s="125">
        <f t="shared" ref="BR32" si="61">SUM(BR8:BR31)</f>
        <v>0</v>
      </c>
      <c r="BS32" s="125">
        <f t="shared" ref="BS32" si="62">SUM(BS8:BS31)</f>
        <v>0</v>
      </c>
      <c r="BT32" s="125">
        <f>SUM(BT8:BT31)</f>
        <v>-304.97405917955086</v>
      </c>
    </row>
    <row r="33" spans="3:72" ht="44.25" customHeight="1" x14ac:dyDescent="0.25">
      <c r="C33" s="57" t="s">
        <v>42</v>
      </c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4"/>
    </row>
    <row r="34" spans="3:72" ht="14.25" customHeight="1" x14ac:dyDescent="0.25">
      <c r="C34" s="5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3:72" ht="24.75" customHeight="1" x14ac:dyDescent="0.25">
      <c r="C35" s="59" t="s">
        <v>43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77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74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3:72" ht="11.25" customHeight="1" x14ac:dyDescent="0.25">
      <c r="C36" s="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3:72" ht="28.5" customHeight="1" thickBot="1" x14ac:dyDescent="0.3">
      <c r="C37" s="62" t="s">
        <v>156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76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7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</row>
    <row r="38" spans="3:72" ht="39" customHeight="1" x14ac:dyDescent="0.25"/>
  </sheetData>
  <mergeCells count="43">
    <mergeCell ref="AI5:AJ5"/>
    <mergeCell ref="BA5:BC5"/>
    <mergeCell ref="AK5:AM5"/>
    <mergeCell ref="BK1:BT1"/>
    <mergeCell ref="C1:BJ1"/>
    <mergeCell ref="C2:BT2"/>
    <mergeCell ref="C3:BT3"/>
    <mergeCell ref="D4:AZ4"/>
    <mergeCell ref="BA4:BS4"/>
    <mergeCell ref="BT4:BT6"/>
    <mergeCell ref="AD5:AD6"/>
    <mergeCell ref="V5:V6"/>
    <mergeCell ref="BD5:BP5"/>
    <mergeCell ref="BQ5:BS5"/>
    <mergeCell ref="W5:W6"/>
    <mergeCell ref="C4:C7"/>
    <mergeCell ref="AE5:AH5"/>
    <mergeCell ref="K5:K6"/>
    <mergeCell ref="L5:L6"/>
    <mergeCell ref="M5:M6"/>
    <mergeCell ref="N5:N6"/>
    <mergeCell ref="P5:P6"/>
    <mergeCell ref="Q5:Q6"/>
    <mergeCell ref="R5:R6"/>
    <mergeCell ref="S5:S6"/>
    <mergeCell ref="T5:T6"/>
    <mergeCell ref="U5:U6"/>
    <mergeCell ref="AY5:AZ5"/>
    <mergeCell ref="D5:D6"/>
    <mergeCell ref="E5:E6"/>
    <mergeCell ref="F5:F6"/>
    <mergeCell ref="G5:G6"/>
    <mergeCell ref="H5:H6"/>
    <mergeCell ref="O5:O6"/>
    <mergeCell ref="X5:X6"/>
    <mergeCell ref="Y5:Y6"/>
    <mergeCell ref="Z5:Z6"/>
    <mergeCell ref="AA5:AA6"/>
    <mergeCell ref="AB5:AB6"/>
    <mergeCell ref="AC5:AC6"/>
    <mergeCell ref="J5:J6"/>
    <mergeCell ref="AP5:AX5"/>
    <mergeCell ref="I5:I6"/>
  </mergeCells>
  <phoneticPr fontId="16" type="noConversion"/>
  <pageMargins left="0.31496062992125984" right="0.31496062992125984" top="0.74803149606299213" bottom="0.74803149606299213" header="0.31496062992125984" footer="0.31496062992125984"/>
  <pageSetup paperSize="8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E6A728688247D4183C7C9ABE1118CF7" ma:contentTypeVersion="0" ma:contentTypeDescription="Создание документа." ma:contentTypeScope="" ma:versionID="65ef63008d817c050b2717473f8d03a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58D8AB-32CA-474A-B2D5-725BF4AA2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1AECCC-5940-4281-A3DF-9803C8D1D5F7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D4F3C6F-B1A4-4C07-9BA3-6FE0AAAC2C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Нагрузка_ПС</vt:lpstr>
      <vt:lpstr>АЧР+гр вр </vt:lpstr>
      <vt:lpstr>Ведомость учета</vt:lpstr>
      <vt:lpstr>сводная табл1</vt:lpstr>
      <vt:lpstr>табл2 субаб и сторонние</vt:lpstr>
      <vt:lpstr>'АЧР+гр вр '!Область_печати</vt:lpstr>
      <vt:lpstr>'сводная табл1'!Область_печати</vt:lpstr>
      <vt:lpstr>'табл2 субаб и сторонние'!Область_печати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2009-11-30T13:20:47Z</cp:lastPrinted>
  <dcterms:created xsi:type="dcterms:W3CDTF">2006-09-28T05:33:49Z</dcterms:created>
  <dcterms:modified xsi:type="dcterms:W3CDTF">2020-12-21T09:28:50Z</dcterms:modified>
</cp:coreProperties>
</file>